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U:\DOKUMENTY\REGULACJE\ZMIANY REGULACJI\2024.03.08 Gwarancje\"/>
    </mc:Choice>
  </mc:AlternateContent>
  <xr:revisionPtr revIDLastSave="0" documentId="8_{F409A365-FA68-4267-99F8-4EF4D0840492}" xr6:coauthVersionLast="47" xr6:coauthVersionMax="47" xr10:uidLastSave="{00000000-0000-0000-0000-000000000000}"/>
  <workbookProtection workbookAlgorithmName="SHA-512" workbookHashValue="+0haAVI1Dpa0R69fHZ5ho2QIPOhj4/Nw1j4mw11qjn1WG3Ha2xVzf1FPbhpYdBqUjBjkLZn7/pqcwO1cEb0krw==" workbookSaltValue="vizw8ckOdX0AjKEOrWrHqg==" workbookSpinCount="100000" lockStructure="1"/>
  <bookViews>
    <workbookView xWindow="-120" yWindow="-120" windowWidth="29040" windowHeight="15720" tabRatio="669" xr2:uid="{00000000-000D-0000-FFFF-FFFF00000000}"/>
  </bookViews>
  <sheets>
    <sheet name="Kalkulator" sheetId="4" r:id="rId1"/>
    <sheet name="Prowizje" sheetId="6" r:id="rId2"/>
    <sheet name="Instrukcja" sheetId="5" r:id="rId3"/>
    <sheet name="Parametry" sheetId="2" state="hidden" r:id="rId4"/>
    <sheet name="Produkty" sheetId="7" state="hidden" r:id="rId5"/>
    <sheet name="Notyfikowana" sheetId="8" state="hidden" r:id="rId6"/>
  </sheets>
  <definedNames>
    <definedName name="_xlnm._FilterDatabase" localSheetId="4" hidden="1">Produkty!$B$45:$G$45</definedName>
    <definedName name="actAmt">Kalkulator!$BQ$76</definedName>
    <definedName name="actAmtInp">Kalkulator!$AD$45</definedName>
    <definedName name="actEnd">Kalkulator!$X$33</definedName>
    <definedName name="actGuar">Kalkulator!$X$29</definedName>
    <definedName name="actStart">Kalkulator!$X$31</definedName>
    <definedName name="aidDate">Kalkulator!$BM$23</definedName>
    <definedName name="amtMonths">Kalkulator!$BW$71</definedName>
    <definedName name="calcVer">Parametry!$D$3</definedName>
    <definedName name="chgDate">Kalkulator!$BV$39</definedName>
    <definedName name="chgDateDesc">Parametry!$D$10:$I$18</definedName>
    <definedName name="chgDateInp">Kalkulator!$X$39</definedName>
    <definedName name="COSME_kredyt">Produkty!$D$13:$D$16</definedName>
    <definedName name="COSME_kredyt_N">Produkty!$D$13:$D$15</definedName>
    <definedName name="COSME_pomoc">Produkty!$D$4</definedName>
    <definedName name="COSME_warianty">Produkty!$D$26:$D$28</definedName>
    <definedName name="Ekomax_kredyt">Produkty!$K$13</definedName>
    <definedName name="EKOMAX_kredyt_N">Produkty!$K$13</definedName>
    <definedName name="Ekomax_pomoc">Produkty!$K$4:$K$5</definedName>
    <definedName name="Ekomax_warianty">Produkty!$K$27:$K$32</definedName>
    <definedName name="error">Kalkulator!$BD$53</definedName>
    <definedName name="FENG_kredyt">Produkty!$L$13:$L$15</definedName>
    <definedName name="FENG_kredyt_D">Produkty!$L$13:$L$14</definedName>
    <definedName name="FENG_kredyt_D_N">Produkty!$L$13:$L$14</definedName>
    <definedName name="FENG_kredyt_N">Produkty!$L$13:$L$15</definedName>
    <definedName name="FENG_kredyt_RPI">Produkty!$L$15</definedName>
    <definedName name="FENG_pomoc">Produkty!$L$4:$L$5</definedName>
    <definedName name="FENG_pomoc_N">Produkty!$L$4</definedName>
    <definedName name="FENG_warianty">Produkty!$L$27:$L$32</definedName>
    <definedName name="FGR_10_kredyt">Produkty!$I$13:$I$15</definedName>
    <definedName name="FGR_10_kredyt_N">Produkty!$I$13:$I$15</definedName>
    <definedName name="FGR_10_pomoc">Produkty!$I$4:$I$5</definedName>
    <definedName name="FGR_10_warianty">Produkty!$I$27:$I$32</definedName>
    <definedName name="FGR_5_kredyt">Produkty!$J$13:$J$15</definedName>
    <definedName name="FGR_5_kredyt_N">Produkty!$J$13:$J$15</definedName>
    <definedName name="FGR_5_pomoc">Produkty!$J$5</definedName>
    <definedName name="FGR_5_warianty">Produkty!$J$27:$J$32</definedName>
    <definedName name="guarEur">Kalkulator!$AF$29</definedName>
    <definedName name="helpMsg">Kalkulator!$CD$9</definedName>
    <definedName name="holidaysActStart">Parametry!$M$33:$P$45</definedName>
    <definedName name="holidaysAidDate">Parametry!$O$32:$P$45</definedName>
    <definedName name="holidaysChgDate">Parametry!$N$33:$P$45</definedName>
    <definedName name="jestPomoc">Kalkulator!$BV$9</definedName>
    <definedName name="jestProwizja">Kalkulator!$BR$9</definedName>
    <definedName name="KFG_kredyt">Produkty!$C$13:$C$16</definedName>
    <definedName name="KFG_kredyt_N">Produkty!$C$13:$C$15</definedName>
    <definedName name="KFG_pomoc">Produkty!$C$4</definedName>
    <definedName name="KFG_warianty">Produkty!$C$26:$C$32</definedName>
    <definedName name="kod_produkt">Kalkulator!$BM$9</definedName>
    <definedName name="KREU_kredyt">Produkty!$G$13:$G$16</definedName>
    <definedName name="KREU_kredyt_N">Produkty!$G$13:$G$15</definedName>
    <definedName name="KREU_pomoc">Produkty!$G$4</definedName>
    <definedName name="KREU_warianty">Produkty!$G$26:$G$32</definedName>
    <definedName name="kursEURO">Kalkulator!$BM$25</definedName>
    <definedName name="kwotaPomocy">Kalkulator!$BM$53</definedName>
    <definedName name="kwotaPomocyEUR">Kalkulator!$BP$53</definedName>
    <definedName name="kwotaPomocyNot">Kalkulator!$BP$49</definedName>
    <definedName name="kwotaProwizji">Kalkulator!$BV$53</definedName>
    <definedName name="LGL_pomoc">Produkty!$H$4</definedName>
    <definedName name="LGL_warianty">Produkty!$H$26:$H$33</definedName>
    <definedName name="logotyp">INDIRECT("pic_"&amp;kod_produkt)</definedName>
    <definedName name="maxEUR">Parametry!$D$7</definedName>
    <definedName name="maxGuar">Kalkulator!$BM$29</definedName>
    <definedName name="maxGuarEur">Kalkulator!$BV$33</definedName>
    <definedName name="maxMonths">Kalkulator!$BM$31</definedName>
    <definedName name="maxMonthsThreshold2">Kalkulator!$BV$25</definedName>
    <definedName name="maxOkres">Produkty!$C$18:$L$25</definedName>
    <definedName name="minEUR">Parametry!$D$6</definedName>
    <definedName name="monthOneDayLater">Kalkulator!$BV$29</definedName>
    <definedName name="months">Kalkulator!$BM$33</definedName>
    <definedName name="months_LGL">Kalkulator!$BO$33</definedName>
    <definedName name="monthsGenitive">Parametry!$B$32:$C$43</definedName>
    <definedName name="msgs">Parametry!$B$48:$C$121</definedName>
    <definedName name="newEnd">Kalkulator!$X$41</definedName>
    <definedName name="newGuar">Kalkulator!$X$37</definedName>
    <definedName name="newGuarEur">Kalkulator!$AF$37</definedName>
    <definedName name="newMonths">Kalkulator!$BM$41</definedName>
    <definedName name="newMonths34">Kalkulator!$BO$41</definedName>
    <definedName name="nr_pomoc">Kalkulator!$BM$13</definedName>
    <definedName name="_xlnm.Print_Area" localSheetId="2">Instrukcja!$C$2:$F$75</definedName>
    <definedName name="_xlnm.Print_Area" localSheetId="0">Kalkulator!$B$6:$AL$57</definedName>
    <definedName name="_xlnm.Print_Area" localSheetId="1">Prowizje!$C$2:$AI$49</definedName>
    <definedName name="parPomoc">Parametry!$D$28:$I$29</definedName>
    <definedName name="parTypPomoc">Parametry!$C$21:$G$24</definedName>
    <definedName name="pic_0">Kalkulator!$CK$2</definedName>
    <definedName name="pic_COSME">Kalkulator!$CM$2</definedName>
    <definedName name="pic_Ekomax">Kalkulator!$CO$2</definedName>
    <definedName name="pic_FENG">Kalkulator!$CO$2</definedName>
    <definedName name="pic_FGR_10">Kalkulator!$CQ$2</definedName>
    <definedName name="pic_FGR_5">Kalkulator!$CR$2</definedName>
    <definedName name="pic_KFG">Kalkulator!$CL$2</definedName>
    <definedName name="pic_KREU">Kalkulator!$CP$2</definedName>
    <definedName name="pic_LGL">Kalkulator!$CS$2</definedName>
    <definedName name="pic_POIR">Kalkulator!$CN$2</definedName>
    <definedName name="POIR_kredyt">Produkty!$E$13:$E$15</definedName>
    <definedName name="POIR_kredyt_N">Produkty!$E$13:$E$15</definedName>
    <definedName name="POIR_kredyt_RPI">Produkty!$E$15</definedName>
    <definedName name="POIR_pomoc">Produkty!$E$4:$E$5</definedName>
    <definedName name="POIR_pomoc_2">Produkty!$E$34:$E$36</definedName>
    <definedName name="POIR_warianty">Produkty!$E$27:$E$33</definedName>
    <definedName name="pomocMax">Kalkulator!$BV$23</definedName>
    <definedName name="POPC_kredyt">Produkty!$F$14:$F$15</definedName>
    <definedName name="POPC_kredyt_N">Produkty!$F$14:$F$15</definedName>
    <definedName name="POPC_pomoc">Produkty!$F$4</definedName>
    <definedName name="POPC_pomoc_2">Produkty!$F$34:$F$35</definedName>
    <definedName name="POPC_warianty">Produkty!$F$27:$F$33</definedName>
    <definedName name="ppEnd">Kalkulator!$BT$74</definedName>
    <definedName name="ppEndNo">Kalkulator!$BW$74</definedName>
    <definedName name="ppStart">Kalkulator!$BT$73</definedName>
    <definedName name="ppStartNo">Kalkulator!$BW$73</definedName>
    <definedName name="ppStartText">Kalkulator!$BT$45</definedName>
    <definedName name="produkt_nazwa2">Parametry!$N$10:$N$15</definedName>
    <definedName name="produktKod">Produkty!$C$2:$L$3</definedName>
    <definedName name="produkty_nazwa">Produkty!$C$2:$L$2</definedName>
    <definedName name="provCalcRest">Prowizje!$D$13</definedName>
    <definedName name="prowizja">Kalkulator!$BG$76</definedName>
    <definedName name="realActEnd">Kalkulator!$BT$65</definedName>
    <definedName name="realActEndNo">Kalkulator!$BW$65</definedName>
    <definedName name="realChgDate">Kalkulator!$BT$69</definedName>
    <definedName name="realChgDateNo">Kalkulator!$BW$69</definedName>
    <definedName name="realEndAmt">Kalkulator!$BT$70</definedName>
    <definedName name="realEndAmtNo">Kalkulator!$BW$70</definedName>
    <definedName name="realNewEnd">Kalkulator!$BT$66</definedName>
    <definedName name="realNewEndNo">Kalkulator!$BW$66</definedName>
    <definedName name="repDate">Kalkulator!$BV$63</definedName>
    <definedName name="rocznica">Kalkulator!$BX$76</definedName>
    <definedName name="rodzaj_nr">Parametry!$K$10:$L$15</definedName>
    <definedName name="sektor">Kalkulator!$BM$15</definedName>
    <definedName name="threshold">Kalkulator!$BM$19</definedName>
    <definedName name="thresholdNew">Kalkulator!$BR$19</definedName>
    <definedName name="typKredytu">Kalkulator!$BM$17</definedName>
    <definedName name="typKredytuOpis">Kalkulator!$BR$17</definedName>
    <definedName name="typPomocy">Parametry!$C$28:$C$29</definedName>
    <definedName name="typPomocyNr">Parametry!$C$28:$I$29</definedName>
    <definedName name="typyKredytu">Parametry!$C$21:$C$24</definedName>
    <definedName name="typyKredytuNr">Parametry!$C$21:$D$24</definedName>
    <definedName name="_xlnm.Print_Titles" localSheetId="2">Instrukcja!$2:$2</definedName>
    <definedName name="wariant">Kalkulator!$BM$11</definedName>
    <definedName name="warianty">Parametry!$C$10:$C$16</definedName>
    <definedName name="warNr">Parametry!$C$10:$D$18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7" l="1"/>
  <c r="G51" i="7"/>
  <c r="D4" i="8" l="1"/>
  <c r="H4" i="8" s="1"/>
  <c r="C51" i="2" l="1"/>
  <c r="BO33" i="4" l="1"/>
  <c r="BB11" i="4" l="1"/>
  <c r="B53" i="7" l="1"/>
  <c r="B54" i="7"/>
  <c r="B51" i="7"/>
  <c r="B50" i="7"/>
  <c r="B46" i="7" l="1"/>
  <c r="B47" i="7"/>
  <c r="B49" i="7"/>
  <c r="D42" i="7" l="1"/>
  <c r="D43" i="7"/>
  <c r="AH2" i="6"/>
  <c r="J59" i="2"/>
  <c r="BN9" i="4"/>
  <c r="BM9" i="4" s="1"/>
  <c r="J119" i="2"/>
  <c r="J98" i="2"/>
  <c r="J61" i="2"/>
  <c r="J91" i="2"/>
  <c r="J111" i="2"/>
  <c r="J104" i="2"/>
  <c r="J69" i="2"/>
  <c r="J67" i="2"/>
  <c r="J62" i="2"/>
  <c r="F10" i="8"/>
  <c r="E10" i="8"/>
  <c r="BR17" i="4"/>
  <c r="J37" i="7" s="1"/>
  <c r="O26" i="2"/>
  <c r="BM23" i="4"/>
  <c r="BM25" i="4"/>
  <c r="K8" i="7" s="1"/>
  <c r="F6" i="8"/>
  <c r="F7" i="8"/>
  <c r="Q7" i="8" s="1"/>
  <c r="E7" i="8"/>
  <c r="F9" i="8"/>
  <c r="E9" i="8"/>
  <c r="F5" i="8"/>
  <c r="E5" i="8"/>
  <c r="F8" i="8"/>
  <c r="E8" i="8"/>
  <c r="E6" i="8"/>
  <c r="D6" i="8"/>
  <c r="F4" i="8"/>
  <c r="Q6" i="8" s="1"/>
  <c r="E4" i="8"/>
  <c r="BN15" i="4"/>
  <c r="BM15" i="4" s="1"/>
  <c r="C74" i="2" s="1"/>
  <c r="BB33" i="4"/>
  <c r="BB31" i="4"/>
  <c r="BB29" i="4"/>
  <c r="D24" i="2"/>
  <c r="G6" i="4"/>
  <c r="C2" i="5"/>
  <c r="M45" i="2"/>
  <c r="M44" i="2"/>
  <c r="M43" i="2"/>
  <c r="M42" i="2"/>
  <c r="M41" i="2"/>
  <c r="M38" i="2"/>
  <c r="M37" i="2"/>
  <c r="M34" i="2"/>
  <c r="M33" i="2"/>
  <c r="BD90" i="4"/>
  <c r="BI90" i="4" s="1"/>
  <c r="BV29" i="4"/>
  <c r="BM33" i="4"/>
  <c r="BU53" i="4"/>
  <c r="BU51" i="4"/>
  <c r="BU49" i="4"/>
  <c r="BN11" i="4"/>
  <c r="C8" i="7" l="1"/>
  <c r="H8" i="7"/>
  <c r="L8" i="7"/>
  <c r="L66" i="2"/>
  <c r="BV11" i="4"/>
  <c r="E47" i="7"/>
  <c r="BM11" i="4"/>
  <c r="K4" i="8"/>
  <c r="CC33" i="4"/>
  <c r="G12" i="7"/>
  <c r="D18" i="7"/>
  <c r="D19" i="7" s="1"/>
  <c r="C20" i="7"/>
  <c r="K66" i="2"/>
  <c r="W23" i="4"/>
  <c r="C66" i="2"/>
  <c r="G37" i="7"/>
  <c r="D37" i="7"/>
  <c r="C18" i="7"/>
  <c r="C21" i="7" s="1"/>
  <c r="BV9" i="4"/>
  <c r="BH90" i="4"/>
  <c r="BJ90" i="4" s="1"/>
  <c r="BG90" i="4"/>
  <c r="Q4" i="8"/>
  <c r="E8" i="7"/>
  <c r="M6" i="8"/>
  <c r="BP90" i="4"/>
  <c r="BO90" i="4"/>
  <c r="CC31" i="4"/>
  <c r="N9" i="8"/>
  <c r="F8" i="7"/>
  <c r="C84" i="2"/>
  <c r="C96" i="2"/>
  <c r="C108" i="2"/>
  <c r="BD9" i="4"/>
  <c r="BC11" i="4" s="1"/>
  <c r="I4" i="8"/>
  <c r="N8" i="8"/>
  <c r="Q8" i="8"/>
  <c r="Q9" i="8"/>
  <c r="Q5" i="8"/>
  <c r="N5" i="8"/>
  <c r="Q10" i="8"/>
  <c r="CC29" i="4"/>
  <c r="CF29" i="4" s="1"/>
  <c r="N7" i="8"/>
  <c r="N6" i="8"/>
  <c r="I37" i="7"/>
  <c r="K55" i="2"/>
  <c r="C37" i="7"/>
  <c r="M4" i="8"/>
  <c r="P10" i="8"/>
  <c r="O41" i="2"/>
  <c r="O40" i="2"/>
  <c r="O39" i="2"/>
  <c r="J4" i="8"/>
  <c r="P4" i="8"/>
  <c r="P9" i="8" s="1"/>
  <c r="O37" i="2"/>
  <c r="C5" i="8"/>
  <c r="H5" i="8" s="1"/>
  <c r="O36" i="2"/>
  <c r="C8" i="8"/>
  <c r="J8" i="8" s="1"/>
  <c r="O45" i="2"/>
  <c r="O34" i="2"/>
  <c r="C7" i="8"/>
  <c r="J7" i="8" s="1"/>
  <c r="O44" i="2"/>
  <c r="BD92" i="4"/>
  <c r="BG92" i="4" s="1"/>
  <c r="O42" i="2"/>
  <c r="C9" i="8"/>
  <c r="O33" i="2"/>
  <c r="O38" i="2"/>
  <c r="D10" i="8"/>
  <c r="C6" i="8"/>
  <c r="I6" i="8" s="1"/>
  <c r="O43" i="2"/>
  <c r="O35" i="2"/>
  <c r="C22" i="7" l="1"/>
  <c r="L22" i="7"/>
  <c r="L23" i="7"/>
  <c r="H11" i="7"/>
  <c r="H12" i="7"/>
  <c r="L4" i="8"/>
  <c r="L25" i="7"/>
  <c r="J24" i="7"/>
  <c r="J25" i="7"/>
  <c r="J22" i="7"/>
  <c r="J23" i="7"/>
  <c r="J75" i="2"/>
  <c r="AH33" i="4"/>
  <c r="BP58" i="4"/>
  <c r="BM59" i="4"/>
  <c r="BM56" i="4"/>
  <c r="BM58" i="4"/>
  <c r="BD31" i="4"/>
  <c r="H23" i="7"/>
  <c r="J82" i="2"/>
  <c r="W31" i="4"/>
  <c r="C82" i="2"/>
  <c r="BC68" i="4"/>
  <c r="BD68" i="4" s="1"/>
  <c r="BC81" i="4"/>
  <c r="BB39" i="4"/>
  <c r="W33" i="4"/>
  <c r="BB41" i="4"/>
  <c r="BM41" i="4" s="1"/>
  <c r="W29" i="4"/>
  <c r="BB37" i="4"/>
  <c r="BB51" i="4"/>
  <c r="BB49" i="4"/>
  <c r="BR9" i="4"/>
  <c r="BB17" i="4"/>
  <c r="J15" i="8"/>
  <c r="J16" i="8"/>
  <c r="J14" i="8"/>
  <c r="CH29" i="4"/>
  <c r="J66" i="2"/>
  <c r="D21" i="7"/>
  <c r="D25" i="7" s="1"/>
  <c r="D24" i="7"/>
  <c r="D22" i="7"/>
  <c r="D23" i="7"/>
  <c r="BB25" i="4"/>
  <c r="BD25" i="4" s="1"/>
  <c r="BB23" i="4"/>
  <c r="BD23" i="4" s="1"/>
  <c r="C19" i="7"/>
  <c r="C23" i="7" s="1"/>
  <c r="BL90" i="4"/>
  <c r="BM90" i="4" s="1"/>
  <c r="BN90" i="4" s="1"/>
  <c r="BK90" i="4"/>
  <c r="BE9" i="4"/>
  <c r="BD11" i="4"/>
  <c r="AR29" i="4"/>
  <c r="CF33" i="4"/>
  <c r="AT33" i="4" s="1"/>
  <c r="AT29" i="4"/>
  <c r="CF31" i="4"/>
  <c r="AT31" i="4" s="1"/>
  <c r="K8" i="8"/>
  <c r="H8" i="8"/>
  <c r="P5" i="8"/>
  <c r="I7" i="8"/>
  <c r="BW92" i="4"/>
  <c r="P7" i="8"/>
  <c r="P6" i="8"/>
  <c r="P8" i="8"/>
  <c r="I8" i="8"/>
  <c r="H7" i="8"/>
  <c r="J5" i="8"/>
  <c r="K5" i="8"/>
  <c r="I5" i="8"/>
  <c r="K7" i="8"/>
  <c r="BH92" i="4"/>
  <c r="BI92" i="4"/>
  <c r="H9" i="8"/>
  <c r="J9" i="8"/>
  <c r="I9" i="8"/>
  <c r="K9" i="8"/>
  <c r="K6" i="8"/>
  <c r="H6" i="8"/>
  <c r="J6" i="8"/>
  <c r="K10" i="8"/>
  <c r="J10" i="8"/>
  <c r="M10" i="8"/>
  <c r="H10" i="8"/>
  <c r="I10" i="8"/>
  <c r="K60" i="2"/>
  <c r="C24" i="7"/>
  <c r="G22" i="7"/>
  <c r="I23" i="7"/>
  <c r="BC83" i="4"/>
  <c r="BD64" i="4"/>
  <c r="E25" i="7"/>
  <c r="I25" i="7"/>
  <c r="BB13" i="4"/>
  <c r="BC72" i="4"/>
  <c r="C99" i="2"/>
  <c r="BC80" i="4"/>
  <c r="E24" i="7"/>
  <c r="BV39" i="4"/>
  <c r="BV63" i="4" s="1"/>
  <c r="BY63" i="4" s="1"/>
  <c r="C102" i="2"/>
  <c r="W39" i="4"/>
  <c r="C70" i="2"/>
  <c r="C83" i="2"/>
  <c r="E22" i="7"/>
  <c r="G25" i="7"/>
  <c r="F25" i="7"/>
  <c r="AF37" i="4"/>
  <c r="BC69" i="4"/>
  <c r="E23" i="7"/>
  <c r="F23" i="7"/>
  <c r="G23" i="7"/>
  <c r="BC67" i="4"/>
  <c r="BC71" i="4"/>
  <c r="BC82" i="4"/>
  <c r="C25" i="7"/>
  <c r="J70" i="2"/>
  <c r="L55" i="2"/>
  <c r="J55" i="2" s="1"/>
  <c r="F24" i="7"/>
  <c r="AF29" i="4"/>
  <c r="C100" i="2"/>
  <c r="C98" i="2"/>
  <c r="BC70" i="4"/>
  <c r="J97" i="2"/>
  <c r="C101" i="2"/>
  <c r="BC84" i="4"/>
  <c r="F22" i="7"/>
  <c r="BC86" i="4"/>
  <c r="G24" i="7"/>
  <c r="BH64" i="4"/>
  <c r="C97" i="2"/>
  <c r="BC73" i="4"/>
  <c r="I22" i="7"/>
  <c r="BC85" i="4"/>
  <c r="BN13" i="4"/>
  <c r="BQ58" i="4" l="1"/>
  <c r="BR58" i="4" s="1"/>
  <c r="BS58" i="4" s="1"/>
  <c r="BV58" i="4" s="1"/>
  <c r="BT65" i="4" s="1"/>
  <c r="G22" i="2"/>
  <c r="G21" i="2"/>
  <c r="CH31" i="4"/>
  <c r="CH33" i="4"/>
  <c r="J54" i="2"/>
  <c r="G24" i="2"/>
  <c r="BE11" i="4"/>
  <c r="BC13" i="4"/>
  <c r="L9" i="8"/>
  <c r="L7" i="8"/>
  <c r="L8" i="8"/>
  <c r="L6" i="8"/>
  <c r="L10" i="8"/>
  <c r="L5" i="8"/>
  <c r="AR31" i="4"/>
  <c r="AR33" i="4"/>
  <c r="BQ90" i="4"/>
  <c r="BO92" i="4"/>
  <c r="BP92" i="4"/>
  <c r="BL92" i="4"/>
  <c r="BM92" i="4" s="1"/>
  <c r="BK92" i="4"/>
  <c r="BJ92" i="4"/>
  <c r="BM13" i="4"/>
  <c r="BI71" i="4"/>
  <c r="BH71" i="4"/>
  <c r="BL71" i="4"/>
  <c r="BM37" i="4"/>
  <c r="CG31" i="4"/>
  <c r="N37" i="2"/>
  <c r="N34" i="2"/>
  <c r="D7" i="8"/>
  <c r="M7" i="8" s="1"/>
  <c r="D9" i="8"/>
  <c r="M9" i="8" s="1"/>
  <c r="N44" i="2"/>
  <c r="D8" i="8"/>
  <c r="M8" i="8" s="1"/>
  <c r="N38" i="2"/>
  <c r="N43" i="2"/>
  <c r="BD91" i="4"/>
  <c r="D5" i="8"/>
  <c r="M5" i="8" s="1"/>
  <c r="N42" i="2"/>
  <c r="N41" i="2"/>
  <c r="N45" i="2"/>
  <c r="N33" i="2"/>
  <c r="BL72" i="4"/>
  <c r="BH72" i="4"/>
  <c r="BD72" i="4"/>
  <c r="BE72" i="4" s="1"/>
  <c r="BI72" i="4"/>
  <c r="BG81" i="4"/>
  <c r="BP59" i="4"/>
  <c r="BO41" i="4"/>
  <c r="AH41" i="4"/>
  <c r="BD73" i="4"/>
  <c r="BE73" i="4" s="1"/>
  <c r="BI70" i="4"/>
  <c r="BH70" i="4"/>
  <c r="BL70" i="4"/>
  <c r="BE23" i="4"/>
  <c r="AB23" i="4"/>
  <c r="BE68" i="4"/>
  <c r="BD69" i="4"/>
  <c r="BE69" i="4" s="1"/>
  <c r="BJ84" i="4"/>
  <c r="L60" i="2" l="1"/>
  <c r="J60" i="2" s="1"/>
  <c r="L20" i="7"/>
  <c r="L24" i="7" s="1"/>
  <c r="K20" i="7"/>
  <c r="K24" i="7" s="1"/>
  <c r="BW65" i="4"/>
  <c r="C87" i="2"/>
  <c r="D12" i="7"/>
  <c r="BS19" i="4"/>
  <c r="BM39" i="4"/>
  <c r="BM19" i="4" s="1"/>
  <c r="BT41" i="4"/>
  <c r="BP56" i="4"/>
  <c r="BD13" i="4"/>
  <c r="CH37" i="4"/>
  <c r="CG33" i="4"/>
  <c r="BR90" i="4"/>
  <c r="BT90" i="4" s="1"/>
  <c r="BJ72" i="4"/>
  <c r="BK72" i="4" s="1"/>
  <c r="BN92" i="4"/>
  <c r="BJ71" i="4"/>
  <c r="BD71" i="4" s="1"/>
  <c r="BE71" i="4" s="1"/>
  <c r="BJ70" i="4"/>
  <c r="BK70" i="4" s="1"/>
  <c r="BI91" i="4"/>
  <c r="BH91" i="4"/>
  <c r="BG91" i="4"/>
  <c r="BQ59" i="4"/>
  <c r="BR59" i="4" s="1"/>
  <c r="BS59" i="4" s="1"/>
  <c r="BV59" i="4" s="1"/>
  <c r="BT66" i="4" s="1"/>
  <c r="H38" i="2"/>
  <c r="I20" i="7"/>
  <c r="BR49" i="4"/>
  <c r="G38" i="2"/>
  <c r="BB19" i="4"/>
  <c r="BB15" i="4"/>
  <c r="BN17" i="4"/>
  <c r="BM17" i="4" l="1"/>
  <c r="BW66" i="4"/>
  <c r="BQ56" i="4"/>
  <c r="BR56" i="4" s="1"/>
  <c r="BS56" i="4" s="1"/>
  <c r="BR19" i="4"/>
  <c r="L29" i="2"/>
  <c r="P29" i="2"/>
  <c r="Q28" i="2"/>
  <c r="L28" i="2"/>
  <c r="O28" i="2"/>
  <c r="P28" i="2"/>
  <c r="Q29" i="2"/>
  <c r="M28" i="2"/>
  <c r="O29" i="2"/>
  <c r="N29" i="2"/>
  <c r="N28" i="2"/>
  <c r="M29" i="2"/>
  <c r="BE13" i="4"/>
  <c r="BC15" i="4"/>
  <c r="BS90" i="4"/>
  <c r="BU90" i="4" s="1"/>
  <c r="M35" i="2" s="1"/>
  <c r="M40" i="2" s="1"/>
  <c r="BK71" i="4"/>
  <c r="BM49" i="4" s="1"/>
  <c r="BQ92" i="4"/>
  <c r="BR92" i="4" s="1"/>
  <c r="BT92" i="4" s="1"/>
  <c r="G23" i="2"/>
  <c r="I24" i="7"/>
  <c r="BK91" i="4"/>
  <c r="BL91" i="4"/>
  <c r="BM91" i="4" s="1"/>
  <c r="BJ91" i="4"/>
  <c r="BO91" i="4"/>
  <c r="BP91" i="4"/>
  <c r="J8" i="7" l="1"/>
  <c r="I8" i="7"/>
  <c r="BV56" i="4"/>
  <c r="BT73" i="4" s="1"/>
  <c r="BM57" i="4" s="1"/>
  <c r="C71" i="2"/>
  <c r="J28" i="2"/>
  <c r="J29" i="2"/>
  <c r="BD15" i="4"/>
  <c r="BC17" i="4" s="1"/>
  <c r="BD17" i="4" s="1"/>
  <c r="M39" i="2"/>
  <c r="M36" i="2"/>
  <c r="BM31" i="4"/>
  <c r="BV25" i="4"/>
  <c r="BM51" i="4"/>
  <c r="BS92" i="4"/>
  <c r="BU92" i="4" s="1"/>
  <c r="BN91" i="4"/>
  <c r="BQ91" i="4" s="1"/>
  <c r="G40" i="2" l="1"/>
  <c r="H40" i="2"/>
  <c r="H39" i="2"/>
  <c r="G34" i="2"/>
  <c r="G39" i="2"/>
  <c r="H35" i="2"/>
  <c r="C112" i="2"/>
  <c r="BQ57" i="4"/>
  <c r="BR57" i="4" s="1"/>
  <c r="BS57" i="4" s="1"/>
  <c r="BV57" i="4" s="1"/>
  <c r="BT74" i="4" s="1"/>
  <c r="BT45" i="4"/>
  <c r="BW73" i="4"/>
  <c r="BM45" i="4"/>
  <c r="C12" i="7" s="1"/>
  <c r="C89" i="2"/>
  <c r="C109" i="2" s="1"/>
  <c r="BD41" i="4"/>
  <c r="BD39" i="4" s="1"/>
  <c r="G35" i="2"/>
  <c r="H34" i="2"/>
  <c r="BE15" i="4"/>
  <c r="BW90" i="4"/>
  <c r="BE31" i="4" s="1"/>
  <c r="BR91" i="4"/>
  <c r="BS91" i="4" s="1"/>
  <c r="BO51" i="4" l="1"/>
  <c r="BR51" i="4"/>
  <c r="BX76" i="4"/>
  <c r="BD82" i="4" s="1"/>
  <c r="BT69" i="4"/>
  <c r="BW69" i="4" s="1"/>
  <c r="E23" i="2"/>
  <c r="E22" i="2"/>
  <c r="E24" i="2"/>
  <c r="E21" i="2"/>
  <c r="BT70" i="4"/>
  <c r="BW70" i="4" s="1"/>
  <c r="BW74" i="4"/>
  <c r="BE84" i="4" s="1"/>
  <c r="BC19" i="4"/>
  <c r="BE17" i="4"/>
  <c r="AB31" i="4"/>
  <c r="BT91" i="4"/>
  <c r="BU91" i="4" s="1"/>
  <c r="N35" i="2" s="1"/>
  <c r="BD86" i="4" l="1"/>
  <c r="BD85" i="4"/>
  <c r="BD84" i="4"/>
  <c r="BD83" i="4"/>
  <c r="BD80" i="4"/>
  <c r="BD81" i="4"/>
  <c r="BW71" i="4"/>
  <c r="BF86" i="4" s="1"/>
  <c r="BG76" i="4"/>
  <c r="BE83" i="4"/>
  <c r="BE85" i="4"/>
  <c r="N39" i="2"/>
  <c r="N36" i="2"/>
  <c r="N40" i="2"/>
  <c r="G5" i="8" l="1"/>
  <c r="O5" i="8" s="1"/>
  <c r="G4" i="8"/>
  <c r="O4" i="8" s="1"/>
  <c r="BF82" i="4"/>
  <c r="BF85" i="4"/>
  <c r="G10" i="8"/>
  <c r="O10" i="8" s="1"/>
  <c r="G9" i="8"/>
  <c r="G6" i="8"/>
  <c r="R6" i="8" s="1"/>
  <c r="G7" i="8"/>
  <c r="R7" i="8" s="1"/>
  <c r="BP81" i="4"/>
  <c r="G8" i="8"/>
  <c r="BS84" i="4"/>
  <c r="BW91" i="4"/>
  <c r="AB39" i="4" s="1"/>
  <c r="R5" i="8" l="1"/>
  <c r="S5" i="8" s="1"/>
  <c r="R10" i="8"/>
  <c r="S10" i="8" s="1"/>
  <c r="O7" i="8"/>
  <c r="S7" i="8" s="1"/>
  <c r="O6" i="8"/>
  <c r="S6" i="8" s="1"/>
  <c r="O8" i="8"/>
  <c r="R8" i="8"/>
  <c r="R4" i="8"/>
  <c r="S4" i="8" s="1"/>
  <c r="O9" i="8"/>
  <c r="R9" i="8"/>
  <c r="BE39" i="4"/>
  <c r="S8" i="8" l="1"/>
  <c r="S9" i="8"/>
  <c r="BP49" i="4" l="1"/>
  <c r="F22" i="2"/>
  <c r="F21" i="2"/>
  <c r="F23" i="2"/>
  <c r="F24" i="2"/>
  <c r="BP51" i="4" l="1"/>
  <c r="BM53" i="4"/>
  <c r="BP53" i="4" s="1"/>
  <c r="BM29" i="4"/>
  <c r="BV33" i="4"/>
  <c r="C95" i="2" s="1"/>
  <c r="BV31" i="4"/>
  <c r="BV23" i="4" s="1"/>
  <c r="BD19" i="4" s="1"/>
  <c r="C94" i="2" l="1"/>
  <c r="C73" i="2"/>
  <c r="BR53" i="4"/>
  <c r="BE19" i="4"/>
  <c r="BC23" i="4"/>
  <c r="BC25" i="4" s="1"/>
  <c r="BC29" i="4" s="1"/>
  <c r="C65" i="2"/>
  <c r="C85" i="2" s="1"/>
  <c r="BD33" i="4"/>
  <c r="BD29" i="4" s="1"/>
  <c r="BD37" i="4"/>
  <c r="BB45" i="4" l="1"/>
  <c r="BQ76" i="4" s="1"/>
  <c r="BG83" i="4" s="1"/>
  <c r="BP83" i="4" s="1"/>
  <c r="BC31" i="4"/>
  <c r="BC33" i="4" s="1"/>
  <c r="BC37" i="4" s="1"/>
  <c r="BC39" i="4" s="1"/>
  <c r="BC41" i="4" s="1"/>
  <c r="BC45" i="4" s="1"/>
  <c r="BE45" i="4" l="1"/>
  <c r="BG82" i="4"/>
  <c r="BP82" i="4" s="1"/>
  <c r="BG86" i="4"/>
  <c r="BP86" i="4" s="1"/>
  <c r="BG85" i="4"/>
  <c r="BP85" i="4" s="1"/>
  <c r="BJ83" i="4"/>
  <c r="BS83" i="4" s="1"/>
  <c r="BG80" i="4"/>
  <c r="BP80" i="4" s="1"/>
  <c r="BD45" i="4"/>
  <c r="BD51" i="4" s="1"/>
  <c r="BG84" i="4"/>
  <c r="BP84" i="4" s="1"/>
  <c r="BM85" i="4"/>
  <c r="BV85" i="4" s="1"/>
  <c r="BM82" i="4"/>
  <c r="BV82" i="4" s="1"/>
  <c r="BM86" i="4"/>
  <c r="BV86" i="4" s="1"/>
  <c r="BJ85" i="4"/>
  <c r="BS85" i="4" s="1"/>
  <c r="BD53" i="4" l="1"/>
  <c r="BV51" i="4"/>
  <c r="BV49" i="4"/>
  <c r="O10" i="6" l="1"/>
  <c r="L23" i="6"/>
  <c r="V5" i="6"/>
  <c r="O9" i="6"/>
  <c r="W5" i="6"/>
  <c r="S15" i="6"/>
  <c r="M2" i="6"/>
  <c r="AF5" i="6"/>
  <c r="S14" i="6"/>
  <c r="I5" i="6"/>
  <c r="R2" i="6"/>
  <c r="W51" i="4"/>
  <c r="AA51" i="4"/>
  <c r="O13" i="6"/>
  <c r="S16" i="6"/>
  <c r="I51" i="4"/>
  <c r="BE49" i="4" s="1"/>
  <c r="Q52" i="4" s="1"/>
  <c r="O11" i="6"/>
  <c r="CF37" i="4"/>
  <c r="AP25" i="4" s="1"/>
  <c r="N2" i="6"/>
  <c r="BE53" i="4"/>
  <c r="CD9" i="4" s="1"/>
  <c r="AP11" i="4" s="1"/>
  <c r="P23" i="6"/>
  <c r="O23" i="6" s="1"/>
  <c r="O8" i="6"/>
  <c r="BD56" i="4"/>
  <c r="L22" i="6"/>
  <c r="P22" i="6" s="1"/>
  <c r="S13" i="6"/>
  <c r="O15" i="6"/>
  <c r="N51" i="4"/>
  <c r="BD58" i="4" s="1"/>
  <c r="W13" i="6"/>
  <c r="S23" i="6"/>
  <c r="AC45" i="4"/>
  <c r="K18" i="6"/>
  <c r="O18" i="6" s="1"/>
  <c r="O14" i="6"/>
  <c r="O16" i="6"/>
  <c r="M6" i="4"/>
  <c r="BV53" i="4"/>
  <c r="AE51" i="4" s="1"/>
  <c r="BD59" i="4" l="1"/>
  <c r="BE56" i="4" s="1"/>
  <c r="W14" i="6"/>
  <c r="L30" i="6" s="1"/>
  <c r="P31" i="6" s="1"/>
  <c r="W15" i="6"/>
  <c r="W16" i="6"/>
  <c r="L41" i="6" s="1"/>
  <c r="L43" i="6" s="1"/>
  <c r="L26" i="6"/>
  <c r="L25" i="6"/>
  <c r="P25" i="6" s="1"/>
  <c r="BE58" i="4"/>
  <c r="C55" i="4" s="1"/>
  <c r="L24" i="6"/>
  <c r="H49" i="4"/>
  <c r="C116" i="2"/>
  <c r="L31" i="6" l="1"/>
  <c r="L33" i="6"/>
  <c r="L34" i="6" s="1"/>
  <c r="J34" i="6" s="1"/>
  <c r="L44" i="6"/>
  <c r="J44" i="6" s="1"/>
  <c r="C53" i="4"/>
  <c r="BE51" i="4"/>
  <c r="V49" i="4" s="1"/>
  <c r="P26" i="6"/>
  <c r="BE59" i="4"/>
  <c r="BE57" i="4"/>
  <c r="C54" i="4" s="1"/>
  <c r="L35" i="6" l="1"/>
  <c r="P36" i="6" s="1"/>
  <c r="L32" i="6"/>
  <c r="P32" i="6" s="1"/>
  <c r="O32" i="6" s="1"/>
  <c r="P48" i="6"/>
  <c r="L45" i="6"/>
  <c r="P30" i="6" l="1"/>
  <c r="P37" i="6"/>
  <c r="L37" i="6"/>
  <c r="L36" i="6"/>
  <c r="S32" i="6"/>
  <c r="S31" i="6"/>
  <c r="L47" i="6"/>
  <c r="P46" i="6"/>
  <c r="P47" i="6"/>
  <c r="P41" i="6"/>
  <c r="P42" i="6"/>
  <c r="L46" i="6"/>
  <c r="L42" i="6"/>
  <c r="L48" i="6" l="1"/>
  <c r="O42" i="6"/>
  <c r="S4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BGK</author>
    <author>Aleksandra Klewicz</author>
  </authors>
  <commentList>
    <comment ref="B2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Ola:</t>
        </r>
        <r>
          <rPr>
            <sz val="9"/>
            <color indexed="81"/>
            <rFont val="Tahoma"/>
            <family val="2"/>
            <charset val="238"/>
          </rPr>
          <t xml:space="preserve">
tak jak nowy odnawialny</t>
        </r>
      </text>
    </comment>
    <comment ref="B25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Ola:</t>
        </r>
        <r>
          <rPr>
            <sz val="9"/>
            <color indexed="81"/>
            <rFont val="Tahoma"/>
            <family val="2"/>
            <charset val="238"/>
          </rPr>
          <t xml:space="preserve">
tak jak zmiana odnawialny</t>
        </r>
      </text>
    </comment>
    <comment ref="E47" authorId="1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Aleksandra Klewicz:</t>
        </r>
        <r>
          <rPr>
            <sz val="9"/>
            <color indexed="81"/>
            <rFont val="Tahoma"/>
            <family val="2"/>
            <charset val="238"/>
          </rPr>
          <t xml:space="preserve">
Prowizja dynamiczna, dla kredytów inwestycyjnych 1%.</t>
        </r>
      </text>
    </comment>
  </commentList>
</comments>
</file>

<file path=xl/sharedStrings.xml><?xml version="1.0" encoding="utf-8"?>
<sst xmlns="http://schemas.openxmlformats.org/spreadsheetml/2006/main" count="788" uniqueCount="481">
  <si>
    <t>Warianty</t>
  </si>
  <si>
    <t>nowa gwarancja</t>
  </si>
  <si>
    <t>podwyższenie</t>
  </si>
  <si>
    <t>przedłużenie</t>
  </si>
  <si>
    <t>przedłużenie z obniżeniem</t>
  </si>
  <si>
    <t>przedłużenie z podwyższeniem</t>
  </si>
  <si>
    <t>nr</t>
  </si>
  <si>
    <t>Wersja</t>
  </si>
  <si>
    <t>kurs EURO min</t>
  </si>
  <si>
    <t>kurs EURO max</t>
  </si>
  <si>
    <t>maxTime</t>
  </si>
  <si>
    <t>Wprowadź nową kwotę gwarancji w PLN.</t>
  </si>
  <si>
    <t>1. próg</t>
  </si>
  <si>
    <t>2. próg</t>
  </si>
  <si>
    <t>Komunikat</t>
  </si>
  <si>
    <t>Nr</t>
  </si>
  <si>
    <t xml:space="preserve">nr wariantu: </t>
  </si>
  <si>
    <t xml:space="preserve">kwota pomocy: </t>
  </si>
  <si>
    <t>maxGwEUR</t>
  </si>
  <si>
    <t xml:space="preserve">błąd: </t>
  </si>
  <si>
    <t>Wybierz wariant.</t>
  </si>
  <si>
    <t>Wprowadź nowy koniec okresu ważności.</t>
  </si>
  <si>
    <t>Nowa kwota gwarancji w PLN musi być większa od aktualnej.</t>
  </si>
  <si>
    <t>Nowa kwota gwarancji w PLN musi być mniejsza od aktualnej.</t>
  </si>
  <si>
    <t>Nowy koniec okresu ważności musi być większy od aktualnego.</t>
  </si>
  <si>
    <t xml:space="preserve">w EUR: </t>
  </si>
  <si>
    <t>Wprowadź kwotę dotychczas uzyskanej pomocy.</t>
  </si>
  <si>
    <t>wariant</t>
  </si>
  <si>
    <t>okres</t>
  </si>
  <si>
    <t>p</t>
  </si>
  <si>
    <t>n</t>
  </si>
  <si>
    <t>r</t>
  </si>
  <si>
    <t>Nowy koniec okresu ważności musi być mniejszy od aktualnego.</t>
  </si>
  <si>
    <t>Wykorzystano już maksymalną kwotę pomocy.</t>
  </si>
  <si>
    <t>maxAmountEUR</t>
  </si>
  <si>
    <t>transport drogowy towarów</t>
  </si>
  <si>
    <t>inny</t>
  </si>
  <si>
    <t xml:space="preserve">miesięcy: </t>
  </si>
  <si>
    <t>*</t>
  </si>
  <si>
    <t xml:space="preserve">miesięcy po zmianie: </t>
  </si>
  <si>
    <t xml:space="preserve">kwota gwarancji: </t>
  </si>
  <si>
    <t xml:space="preserve">kwota gwarancji w EUR: </t>
  </si>
  <si>
    <t xml:space="preserve">wariant: </t>
  </si>
  <si>
    <t xml:space="preserve">sektor działania Wnioskodawcy: </t>
  </si>
  <si>
    <t xml:space="preserve">dotychczas uzyskana pomoc w EUR: </t>
  </si>
  <si>
    <t xml:space="preserve">nowa kwota gwarancji w PLN: </t>
  </si>
  <si>
    <t xml:space="preserve">nowy koniec okresu ważności: </t>
  </si>
  <si>
    <t>red</t>
  </si>
  <si>
    <t>skrócenie z podwyższeniem</t>
  </si>
  <si>
    <t>Wybierz sektor działalności prowadzonej przez Wnioskodawcę.</t>
  </si>
  <si>
    <t>sektor działania Wnioskodawcy</t>
  </si>
  <si>
    <t>dotychczas uzyskana pomoc w EUR</t>
  </si>
  <si>
    <t>kurs EUR</t>
  </si>
  <si>
    <t>kwota gwarancji w PLN</t>
  </si>
  <si>
    <t>aktualna kwota gwarancji w PLN</t>
  </si>
  <si>
    <t>aktualny koniec okresu ważności</t>
  </si>
  <si>
    <t>nowa kwota gwarancji w PLN</t>
  </si>
  <si>
    <t>faktyczna data podwyższenia</t>
  </si>
  <si>
    <t>faktyczna data obniżenia</t>
  </si>
  <si>
    <t>nowy koniec okresu ważności</t>
  </si>
  <si>
    <r>
      <rPr>
        <i/>
        <sz val="8"/>
        <color indexed="8"/>
        <rFont val="Tahoma"/>
        <family val="2"/>
        <charset val="238"/>
      </rPr>
      <t>Pole należy wypełnić wartością liczbową, z dokładnością do dwóch miejsc po przecinku.</t>
    </r>
    <r>
      <rPr>
        <sz val="8"/>
        <color indexed="8"/>
        <rFont val="Tahoma"/>
        <family val="2"/>
        <charset val="238"/>
      </rPr>
      <t xml:space="preserve">
Wymagany w tym polu kurs EUR,</t>
    </r>
    <r>
      <rPr>
        <u/>
        <sz val="8"/>
        <color indexed="8"/>
        <rFont val="Tahoma"/>
        <family val="2"/>
        <charset val="238"/>
      </rPr>
      <t xml:space="preserve"> z dnia udzielenia pomocy</t>
    </r>
    <r>
      <rPr>
        <sz val="8"/>
        <color indexed="8"/>
        <rFont val="Tahoma"/>
        <family val="2"/>
        <charset val="238"/>
      </rPr>
      <t>, jest dostępny na stronach NBP po godzinie 12.00.</t>
    </r>
  </si>
  <si>
    <t>pola białe</t>
  </si>
  <si>
    <t>pola szare</t>
  </si>
  <si>
    <t>BRAK WYNIKU</t>
  </si>
  <si>
    <t>pola, których nie należy wypełniać. Jeżeli te pola są wypełnione, należy wykasować informacje w nich zawarte.</t>
  </si>
  <si>
    <t>pola, w których kalkulator wyświetla wynik tj. wartość pomocy w PLN i wartość pomocy w EUR.</t>
  </si>
  <si>
    <t xml:space="preserve">nawigator kalkulatora. Kalkulator w tych polach podpowiada kolejne kroki procesu wyliczenia wartości pomocy lub informacje o błędnym wprowadzeniu danych. </t>
  </si>
  <si>
    <t>kalkulator prezentuje wynik tylko po  prawidłowym wypełnieniu wymaganych pól. Kalkulator wskazuje pola do wypełnienia lub błędnie wypełnione, podświetlając opis pola na czerwono i podając wskazówki w polu nawigacji (patrz pkt. 4).</t>
  </si>
  <si>
    <t>początek okresu ważności</t>
  </si>
  <si>
    <t>koniec okresu ważności</t>
  </si>
  <si>
    <t>Pole należy uzupełnić poprzez wybranie zaproponowanych odpowiedzi:</t>
  </si>
  <si>
    <t>1.</t>
  </si>
  <si>
    <t>2.</t>
  </si>
  <si>
    <t>3.</t>
  </si>
  <si>
    <t>4.</t>
  </si>
  <si>
    <t>5.</t>
  </si>
  <si>
    <t>6.</t>
  </si>
  <si>
    <r>
      <t xml:space="preserve">Pole należy uzupełnić poprzez wybranie zaproponowanych odpowiedzi:
1) "transport drogowy towarów" - należy wybrać w przypadku, jeżeli Wnioskodawca prowadzi działalność w zakresie transportu drogowego towarów 
2) "inny" - należy wybrać w przypadku, jeżeli Wnioskodawca </t>
    </r>
    <r>
      <rPr>
        <u/>
        <sz val="8"/>
        <color indexed="10"/>
        <rFont val="Tahoma"/>
        <family val="2"/>
        <charset val="238"/>
      </rPr>
      <t>nie</t>
    </r>
    <r>
      <rPr>
        <sz val="8"/>
        <color indexed="8"/>
        <rFont val="Tahoma"/>
        <family val="2"/>
        <charset val="238"/>
      </rPr>
      <t xml:space="preserve"> prowadzi działalności w zakresie transportu drogowego towarów</t>
    </r>
  </si>
  <si>
    <r>
      <t>Pole należy wypełnić w formacie daty zgodnym z ustawieniami regionalnymi (zazwyczaj RRRR-MM-DD).</t>
    </r>
    <r>
      <rPr>
        <sz val="8"/>
        <color indexed="8"/>
        <rFont val="Tahoma"/>
        <family val="2"/>
        <charset val="238"/>
      </rPr>
      <t xml:space="preserve">
Należy podać pierwotną datę objęcia kredytu gwarancją. </t>
    </r>
  </si>
  <si>
    <r>
      <t>Pole należy wypełnić w formacie daty zgodnym z ustawieniami regionalnymi (zazwyczaj RRRR-MM-DD).</t>
    </r>
    <r>
      <rPr>
        <sz val="8"/>
        <color indexed="8"/>
        <rFont val="Tahoma"/>
        <family val="2"/>
        <charset val="238"/>
      </rPr>
      <t xml:space="preserve">
Należy podać datę końca okresu ważności gwarancji.</t>
    </r>
  </si>
  <si>
    <t>Pole należy wypełnić w formacie daty zgodnym z ustawieniami regionalnymi (zazwyczaj RRRR-MM-DD).
Należy podać datę końca okresu ważności gwarancji wynikającą z umowy i wszystkich wcześniejszych dokonanych zmian (aneksów).</t>
  </si>
  <si>
    <t>pola, których nie należy wypełniać. Jeżeli te pola są wypełnione, należy wykasować zawarte w nich informacje.</t>
  </si>
  <si>
    <t xml:space="preserve">pola, które należy wypełnić. Uwagi do sposobu wypełniania tych pól oraz rodzaj podawanej informacji
są wskazane w kolejnych punktach. </t>
  </si>
  <si>
    <r>
      <t>Pole należy wypełnić wartością liczbową, z dokładnością do czterech miejsc po przecinku.</t>
    </r>
    <r>
      <rPr>
        <sz val="8"/>
        <color indexed="8"/>
        <rFont val="Tahoma"/>
        <family val="2"/>
        <charset val="238"/>
      </rPr>
      <t xml:space="preserve">
Wymagany w tym polu kurs EUR</t>
    </r>
    <r>
      <rPr>
        <u/>
        <sz val="8"/>
        <color indexed="8"/>
        <rFont val="Tahoma"/>
        <family val="2"/>
        <charset val="238"/>
      </rPr>
      <t xml:space="preserve"> z dnia udzielenia pomocy</t>
    </r>
    <r>
      <rPr>
        <sz val="8"/>
        <color indexed="8"/>
        <rFont val="Tahoma"/>
        <family val="2"/>
        <charset val="238"/>
      </rPr>
      <t xml:space="preserve"> jest dostępny na stronach NBP
po godzinie 12.00.</t>
    </r>
  </si>
  <si>
    <t xml:space="preserve">ważność: </t>
  </si>
  <si>
    <t xml:space="preserve">kurs: </t>
  </si>
  <si>
    <t>obliczenia główne:</t>
  </si>
  <si>
    <t>Wprowadź kurs euro z tabeli kursów średnich NBP z dnia udzielenia pomocy publicznej.</t>
  </si>
  <si>
    <t>Sposób wypełniania oraz rodzaj informacji w wymaganych do wypełnienia polach</t>
  </si>
  <si>
    <r>
      <t>Pole należy uzupełnić wartością liczbową w euro.</t>
    </r>
    <r>
      <rPr>
        <sz val="8"/>
        <color indexed="8"/>
        <rFont val="Tahoma"/>
        <family val="2"/>
        <charset val="238"/>
      </rPr>
      <t xml:space="preserve">
Należy podać sumę wszystkich dotychczas uzyskanych pomocy de minimis w bieżącym roku oraz dwóch poprzednich, nie tylko pomocy z tytułu gwarancji de minimis.</t>
    </r>
  </si>
  <si>
    <t>Nowa kwota gwarancji w PLN nie może być wprowadzona.</t>
  </si>
  <si>
    <t>Nowy koniec okresu ważności nie może być wprowadzony.</t>
  </si>
  <si>
    <t xml:space="preserve">aktualne zaangażowanie: </t>
  </si>
  <si>
    <t>prowizja rocznicowa</t>
  </si>
  <si>
    <t xml:space="preserve">prowizja: </t>
  </si>
  <si>
    <t>prowizja</t>
  </si>
  <si>
    <t>pomoc</t>
  </si>
  <si>
    <t>okr</t>
  </si>
  <si>
    <t>zm. terminu</t>
  </si>
  <si>
    <t>zm. kwoty</t>
  </si>
  <si>
    <t>okresy</t>
  </si>
  <si>
    <t>zt</t>
  </si>
  <si>
    <t>zk</t>
  </si>
  <si>
    <t>Gwarancja wygasła.</t>
  </si>
  <si>
    <t>Nowy koniec okresu ważności musi być większy od aktualnego początku okresu ważności.</t>
  </si>
  <si>
    <t>rocznicowa</t>
  </si>
  <si>
    <t>podstawa</t>
  </si>
  <si>
    <t xml:space="preserve">bieżąca rocznica: </t>
  </si>
  <si>
    <t>opis pola daty zmiany</t>
  </si>
  <si>
    <t xml:space="preserve">data raportu: </t>
  </si>
  <si>
    <t xml:space="preserve">rocznica: </t>
  </si>
  <si>
    <t xml:space="preserve">koniec ważności: </t>
  </si>
  <si>
    <t xml:space="preserve">nowy koniec ważności: </t>
  </si>
  <si>
    <t>kwota</t>
  </si>
  <si>
    <t>termin</t>
  </si>
  <si>
    <t xml:space="preserve">data zmiany: </t>
  </si>
  <si>
    <t xml:space="preserve">początek: </t>
  </si>
  <si>
    <t xml:space="preserve">koniec: </t>
  </si>
  <si>
    <t>bieżący okres</t>
  </si>
  <si>
    <t xml:space="preserve">realny koniec: </t>
  </si>
  <si>
    <t xml:space="preserve">nowy realny koniec: </t>
  </si>
  <si>
    <t xml:space="preserve">ilość miesięcy zmiany kwoty: </t>
  </si>
  <si>
    <t>Podstawa wyliczania prowizji nie może być wprowadzona.</t>
  </si>
  <si>
    <t>podstawa wyliczania prowizji</t>
  </si>
  <si>
    <t>pola, w których kalkulator wyświetla wynik, tj. wartość pomocy w PLN i w EUR oraz wartość wyliczonej prowizji z rozbiciem na prowizję rocznicową i prowizję od zmiany.</t>
  </si>
  <si>
    <r>
      <rPr>
        <b/>
        <sz val="8"/>
        <color indexed="8"/>
        <rFont val="Tahoma"/>
        <family val="2"/>
        <charset val="238"/>
      </rPr>
      <t>transport drogowy towarów</t>
    </r>
    <r>
      <rPr>
        <sz val="8"/>
        <color indexed="8"/>
        <rFont val="Tahoma"/>
        <family val="2"/>
        <charset val="238"/>
      </rPr>
      <t xml:space="preserve"> – należy wybrać w przypadku, jeżeli Wnioskodawca prowadzi działalność w zakresie transportu drogowego towarów.</t>
    </r>
  </si>
  <si>
    <r>
      <rPr>
        <b/>
        <sz val="8"/>
        <color indexed="8"/>
        <rFont val="Tahoma"/>
        <family val="2"/>
        <charset val="238"/>
      </rPr>
      <t>inny</t>
    </r>
    <r>
      <rPr>
        <sz val="8"/>
        <color indexed="8"/>
        <rFont val="Tahoma"/>
        <family val="2"/>
        <charset val="238"/>
      </rPr>
      <t xml:space="preserve"> – należy wybrać w przypadku, jeżeli Wnioskodawca </t>
    </r>
    <r>
      <rPr>
        <u/>
        <sz val="8"/>
        <color indexed="10"/>
        <rFont val="Tahoma"/>
        <family val="2"/>
        <charset val="238"/>
      </rPr>
      <t>nie</t>
    </r>
    <r>
      <rPr>
        <sz val="8"/>
        <color indexed="8"/>
        <rFont val="Tahoma"/>
        <family val="2"/>
        <charset val="238"/>
      </rPr>
      <t xml:space="preserve"> prowadzi działalności w zakresie transportu drogowego towarów.</t>
    </r>
  </si>
  <si>
    <t>Upewnij się, że podano prawidłowy kurs euro.</t>
  </si>
  <si>
    <t>Kalkulator jest nieaktualny. Pobierz aktualną wersję.</t>
  </si>
  <si>
    <t>Średni kurs euro z dnia publikowany jest przez NBP po godzinie 12:00.</t>
  </si>
  <si>
    <t>pole poniżej wyników</t>
  </si>
  <si>
    <t>nawigator kalkulatora. Kalkulator podpowiada w tym polu kolejne kroki procesu wyliczenia wartości pomocy i prowizji lub informacje o błędnym wprowadzeniu danych. Błędy wyświetlane są kolorem czerwonym, a ostrzeżenia – kolorem czarnym.</t>
  </si>
  <si>
    <t>wybrany wariant:</t>
  </si>
  <si>
    <t xml:space="preserve">zmiana kwoty: </t>
  </si>
  <si>
    <t xml:space="preserve">zmiana terminu: </t>
  </si>
  <si>
    <t xml:space="preserve">od: </t>
  </si>
  <si>
    <t xml:space="preserve">do: </t>
  </si>
  <si>
    <t xml:space="preserve">podstawa: </t>
  </si>
  <si>
    <t xml:space="preserve">okres rocznicowy od: </t>
  </si>
  <si>
    <t xml:space="preserve">typ kredytu: </t>
  </si>
  <si>
    <t>Typ kredytu</t>
  </si>
  <si>
    <t>Wybierz typ kredytu.</t>
  </si>
  <si>
    <t xml:space="preserve">nr typu kredytu: </t>
  </si>
  <si>
    <t>Podstawa wyliczania prowizji musi być równa nowej kwocie gwarancji.</t>
  </si>
  <si>
    <t>Wprowadź podstawę wyliczania prowizji.</t>
  </si>
  <si>
    <t>Miesiące w dopełniaczu</t>
  </si>
  <si>
    <t>stycznia</t>
  </si>
  <si>
    <t>lutego</t>
  </si>
  <si>
    <t>marca</t>
  </si>
  <si>
    <t>kwietnia</t>
  </si>
  <si>
    <t>maja</t>
  </si>
  <si>
    <t>czerwca</t>
  </si>
  <si>
    <t>lipca</t>
  </si>
  <si>
    <t>sierpnia</t>
  </si>
  <si>
    <t>września</t>
  </si>
  <si>
    <t>października</t>
  </si>
  <si>
    <t>listopada</t>
  </si>
  <si>
    <t>grudnia</t>
  </si>
  <si>
    <t>słownie:</t>
  </si>
  <si>
    <t xml:space="preserve">błąd/130: </t>
  </si>
  <si>
    <t>Prowizja rocznicowa nie została wyliczona (nie podano podstawy wyliczania prowizji).</t>
  </si>
  <si>
    <t>typ kredytu</t>
  </si>
  <si>
    <t>Wprowadzone dane uniemożliwiają zastosowanie algorytmów (są niezgodne z oczekiwanymi).</t>
  </si>
  <si>
    <t>err</t>
  </si>
  <si>
    <t xml:space="preserve">ppStart </t>
  </si>
  <si>
    <t xml:space="preserve">ppEnd </t>
  </si>
  <si>
    <t xml:space="preserve">realActEnd </t>
  </si>
  <si>
    <t xml:space="preserve">realNewEnd </t>
  </si>
  <si>
    <t xml:space="preserve">data zmiany zawsze pełna: </t>
  </si>
  <si>
    <t>obsługa interfejsu</t>
  </si>
  <si>
    <t>obliczenia pomocnicze</t>
  </si>
  <si>
    <t>funkcja wyrugowana celem zgodności z różnymi wersjami excela (funkcja ma różne nazwy)</t>
  </si>
  <si>
    <r>
      <t xml:space="preserve">EDATE </t>
    </r>
    <r>
      <rPr>
        <i/>
        <sz val="8"/>
        <rFont val="Tahoma"/>
        <family val="2"/>
        <charset val="238"/>
      </rPr>
      <t>aka</t>
    </r>
    <r>
      <rPr>
        <sz val="8"/>
        <color indexed="10"/>
        <rFont val="Tahoma"/>
        <family val="2"/>
        <charset val="238"/>
      </rPr>
      <t xml:space="preserve">
</t>
    </r>
    <r>
      <rPr>
        <b/>
        <sz val="8"/>
        <rFont val="Tahoma"/>
        <family val="2"/>
        <charset val="238"/>
      </rPr>
      <t>NR.SER.DATY</t>
    </r>
  </si>
  <si>
    <t xml:space="preserve">wg dat granicznych od: </t>
  </si>
  <si>
    <t xml:space="preserve"> początek okresu ważności</t>
  </si>
  <si>
    <t xml:space="preserve"> koniec okresu ważności</t>
  </si>
  <si>
    <t xml:space="preserve"> kwota gwarancji w PLN</t>
  </si>
  <si>
    <t>data bieżąca:</t>
  </si>
  <si>
    <t xml:space="preserve"> graniczna data końca okresu ważności</t>
  </si>
  <si>
    <t>Wszelkie wyliczenia prowizji ograniczone są datą końca bieżącego okresu rocznicowego.</t>
  </si>
  <si>
    <t xml:space="preserve"> miesięcy: </t>
  </si>
  <si>
    <t xml:space="preserve">podstawa wyliczania prowizji: </t>
  </si>
  <si>
    <r>
      <rPr>
        <b/>
        <sz val="8"/>
        <color indexed="8"/>
        <rFont val="Tahoma"/>
        <family val="2"/>
        <charset val="238"/>
      </rPr>
      <t xml:space="preserve">prowizja rocznicowa </t>
    </r>
    <r>
      <rPr>
        <sz val="8"/>
        <color theme="1"/>
        <rFont val="Tahoma"/>
        <family val="2"/>
        <charset val="238"/>
      </rPr>
      <t>– należy wybrać tylko w przypadku wyliczania wartości prowizji rocznicowej dla istniejącej gwarancji.</t>
    </r>
  </si>
  <si>
    <t>7.</t>
  </si>
  <si>
    <t>numer</t>
  </si>
  <si>
    <t>robocza wersja źródłowa</t>
  </si>
  <si>
    <t xml:space="preserve"> maxGwPLN</t>
  </si>
  <si>
    <t>koniec</t>
  </si>
  <si>
    <t xml:space="preserve">kurs/140: </t>
  </si>
  <si>
    <t>Data zmiany</t>
  </si>
  <si>
    <t>Faktyczna data podwyższenia</t>
  </si>
  <si>
    <t>Data aneksu</t>
  </si>
  <si>
    <t>Faktyczna data obniżenia</t>
  </si>
  <si>
    <t>Gwarancja jest w pierwszym okresie rocznicowym (prowizja została naliczona przy udzieleniu).</t>
  </si>
  <si>
    <t>Wariant nie obejmuje gwarancji udzielonych w przyszłości (wybierz wariant "nowa gwarancja").</t>
  </si>
  <si>
    <r>
      <t>Pole należy wypełnić wartością liczbową.</t>
    </r>
    <r>
      <rPr>
        <sz val="8"/>
        <color indexed="8"/>
        <rFont val="Tahoma"/>
        <family val="2"/>
        <charset val="238"/>
      </rPr>
      <t xml:space="preserve">
Wypełnienie pola jest wymagane w przypadku kalkulacji wykonywanej dla nowej gwarancji i prowizji rocznicowej.
Należy wpisać kwotę gwarancji de minimis w PLN.</t>
    </r>
  </si>
  <si>
    <t xml:space="preserve">miesięcy dzień później: </t>
  </si>
  <si>
    <t>Aktualna kwota gwarancji jest równa maksymalnej – podwyższenie jest niemożliwe.</t>
  </si>
  <si>
    <t>Aktualny okres ważności gwarancji jest równy maksymalnemu – przedłużenie jest niemożliwe.</t>
  </si>
  <si>
    <t xml:space="preserve">próg: </t>
  </si>
  <si>
    <t xml:space="preserve">max miesięcy (2. próg): </t>
  </si>
  <si>
    <t>schodkowy</t>
  </si>
  <si>
    <r>
      <rPr>
        <b/>
        <sz val="8"/>
        <color indexed="8"/>
        <rFont val="Tahoma"/>
        <family val="2"/>
        <charset val="238"/>
      </rPr>
      <t>schodkowy</t>
    </r>
    <r>
      <rPr>
        <sz val="8"/>
        <color indexed="8"/>
        <rFont val="Tahoma"/>
        <family val="2"/>
        <charset val="238"/>
      </rPr>
      <t xml:space="preserve"> – kredyt odnawialny z zastosowaniem „schodkowego” schodzenia z limitu.</t>
    </r>
  </si>
  <si>
    <t xml:space="preserve">maximum pomocy: </t>
  </si>
  <si>
    <t xml:space="preserve">maximum gwarancji: </t>
  </si>
  <si>
    <t xml:space="preserve">maksimum miesięcy: </t>
  </si>
  <si>
    <t>Rodzaje pomocy (sektor)</t>
  </si>
  <si>
    <t xml:space="preserve">nr pomocy (sektor): </t>
  </si>
  <si>
    <t>data przygotowania</t>
  </si>
  <si>
    <t xml:space="preserve">niewypełniony: </t>
  </si>
  <si>
    <t>uwagi</t>
  </si>
  <si>
    <t>typ kredytu:</t>
  </si>
  <si>
    <t xml:space="preserve"> w EUR: </t>
  </si>
  <si>
    <t>prowizja razem:  </t>
  </si>
  <si>
    <r>
      <rPr>
        <b/>
        <sz val="10"/>
        <color rgb="FF0070C0"/>
        <rFont val="Wingdings 3"/>
        <family val="1"/>
        <charset val="2"/>
      </rPr>
      <t>Å</t>
    </r>
    <r>
      <rPr>
        <b/>
        <sz val="8"/>
        <color theme="1"/>
        <rFont val="Tahoma"/>
        <family val="2"/>
        <charset val="238"/>
      </rPr>
      <t>   kalkulator</t>
    </r>
  </si>
  <si>
    <t>repDate słownie: </t>
  </si>
  <si>
    <t>Meeus</t>
  </si>
  <si>
    <t>data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</si>
  <si>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</si>
  <si>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</si>
  <si>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</si>
  <si>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</si>
  <si>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</si>
  <si>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</si>
  <si>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</si>
  <si>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</si>
  <si>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</si>
  <si>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</si>
  <si>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</si>
  <si>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</si>
  <si>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mc</t>
  </si>
  <si>
    <t>Wlknc</t>
  </si>
  <si>
    <t>wolne?</t>
  </si>
  <si>
    <t>actStart</t>
  </si>
  <si>
    <t>chgDate</t>
  </si>
  <si>
    <t>święta</t>
  </si>
  <si>
    <t>actStrt</t>
  </si>
  <si>
    <t>święto</t>
  </si>
  <si>
    <t xml:space="preserve"> Nowy Rok</t>
  </si>
  <si>
    <t xml:space="preserve"> Trzech Króli</t>
  </si>
  <si>
    <t xml:space="preserve"> Niedziela wielkanocna</t>
  </si>
  <si>
    <t xml:space="preserve"> Poniedziałek wielkanocny</t>
  </si>
  <si>
    <t xml:space="preserve"> Święto Państwowe</t>
  </si>
  <si>
    <t xml:space="preserve"> Święto Narodowe 3 Maja</t>
  </si>
  <si>
    <t xml:space="preserve"> Zielone Świątki</t>
  </si>
  <si>
    <t xml:space="preserve"> Boże Ciało</t>
  </si>
  <si>
    <t xml:space="preserve"> Wniebowzięcie NMP</t>
  </si>
  <si>
    <t xml:space="preserve"> Wszystkich Świętych</t>
  </si>
  <si>
    <t xml:space="preserve"> Święto Niepodległości</t>
  </si>
  <si>
    <t xml:space="preserve"> Boże Narodzenie</t>
  </si>
  <si>
    <t>ukryć</t>
  </si>
  <si>
    <t xml:space="preserve">od zmiany </t>
  </si>
  <si>
    <t xml:space="preserve">rocznicowa </t>
  </si>
  <si>
    <t xml:space="preserve">razem </t>
  </si>
  <si>
    <t xml:space="preserve">PLN </t>
  </si>
  <si>
    <t xml:space="preserve">EUR </t>
  </si>
  <si>
    <t>&gt;</t>
  </si>
  <si>
    <t>X</t>
  </si>
  <si>
    <t>=</t>
  </si>
  <si>
    <t>pola na czerwonej belce</t>
  </si>
  <si>
    <t>V</t>
  </si>
  <si>
    <t>pole</t>
  </si>
  <si>
    <t>nazwa</t>
  </si>
  <si>
    <t>Wprowadź początek okresu ważności.</t>
  </si>
  <si>
    <t>daty zmiany</t>
  </si>
  <si>
    <t>opis pola kursu EUR</t>
  </si>
  <si>
    <t>daty aneksu</t>
  </si>
  <si>
    <t xml:space="preserve">max kwota gwarancji w EUR: </t>
  </si>
  <si>
    <r>
      <rPr>
        <b/>
        <sz val="10"/>
        <color rgb="FF00B0F0"/>
        <rFont val="Wingdings 3"/>
        <family val="1"/>
        <charset val="2"/>
      </rPr>
      <t>Å</t>
    </r>
    <r>
      <rPr>
        <b/>
        <sz val="8"/>
        <color theme="1"/>
        <rFont val="Tahoma"/>
        <family val="2"/>
        <charset val="238"/>
      </rPr>
      <t>  </t>
    </r>
    <r>
      <rPr>
        <b/>
        <sz val="8"/>
        <color theme="4" tint="-0.249977111117893"/>
        <rFont val="Tahoma"/>
        <family val="2"/>
        <charset val="238"/>
      </rPr>
      <t> </t>
    </r>
    <r>
      <rPr>
        <b/>
        <sz val="8"/>
        <color theme="9" tint="0.59999389629810485"/>
        <rFont val="Tahoma"/>
        <family val="2"/>
        <charset val="238"/>
      </rPr>
      <t>kalkulator</t>
    </r>
  </si>
  <si>
    <t>kalkulator prezentuje wynik tylko po prawidłowym wypełnieniu wymaganych pól. Kalkulator wskazuje pola do wypełnienia lub błędnie wypełnione, podświetlając opis pola na czerwono i podając wskazówki w polu nawigacji (patrz wyżej).</t>
  </si>
  <si>
    <t xml:space="preserve">próg po zmianie: </t>
  </si>
  <si>
    <t xml:space="preserve">max w EUR po zmianie: </t>
  </si>
  <si>
    <r>
      <t xml:space="preserve"> </t>
    </r>
    <r>
      <rPr>
        <b/>
        <sz val="8"/>
        <color theme="0" tint="-0.14999847407452621"/>
        <rFont val="Tahoma"/>
        <family val="2"/>
        <charset val="238"/>
      </rPr>
      <t>stałe</t>
    </r>
    <r>
      <rPr>
        <b/>
        <sz val="8"/>
        <color theme="0"/>
        <rFont val="Tahoma"/>
        <family val="2"/>
        <charset val="238"/>
      </rPr>
      <t xml:space="preserve"> parametry gwarancji</t>
    </r>
  </si>
  <si>
    <r>
      <t xml:space="preserve"> </t>
    </r>
    <r>
      <rPr>
        <b/>
        <sz val="8"/>
        <color theme="0" tint="-0.14999847407452621"/>
        <rFont val="Tahoma"/>
        <family val="2"/>
        <charset val="238"/>
      </rPr>
      <t>zmienne</t>
    </r>
    <r>
      <rPr>
        <b/>
        <sz val="8"/>
        <color theme="0"/>
        <rFont val="Tahoma"/>
        <family val="2"/>
        <charset val="238"/>
      </rPr>
      <t xml:space="preserve"> parametry gwarancji</t>
    </r>
  </si>
  <si>
    <t xml:space="preserve"> sektor działania Wnioskodawcy</t>
  </si>
  <si>
    <t xml:space="preserve"> typ kredytu</t>
  </si>
  <si>
    <t xml:space="preserve"> wartość</t>
  </si>
  <si>
    <t>dnia udzielenia</t>
  </si>
  <si>
    <t xml:space="preserve">produkt: </t>
  </si>
  <si>
    <t xml:space="preserve">rodzaj pomocy: </t>
  </si>
  <si>
    <t>KFG</t>
  </si>
  <si>
    <t>COSME</t>
  </si>
  <si>
    <t>POIR</t>
  </si>
  <si>
    <t>POPC</t>
  </si>
  <si>
    <t>KREU</t>
  </si>
  <si>
    <t>FGR_10</t>
  </si>
  <si>
    <t>FGR_5</t>
  </si>
  <si>
    <t>sektor działania 
tylko dla de minimis</t>
  </si>
  <si>
    <t>e1</t>
  </si>
  <si>
    <t>nie dotyczy</t>
  </si>
  <si>
    <t>Rodzaj pomocy</t>
  </si>
  <si>
    <t>pomoc publiczna</t>
  </si>
  <si>
    <t>e1t</t>
  </si>
  <si>
    <t>kwota gwarancji max</t>
  </si>
  <si>
    <t>waluta</t>
  </si>
  <si>
    <t>PLN</t>
  </si>
  <si>
    <t>prowizja?</t>
  </si>
  <si>
    <t>Tak</t>
  </si>
  <si>
    <t>Nie</t>
  </si>
  <si>
    <t>inwestycyjny</t>
  </si>
  <si>
    <t>Podstawa prawna</t>
  </si>
  <si>
    <t>rodzaj pomocy</t>
  </si>
  <si>
    <t>de minimis</t>
  </si>
  <si>
    <t>regionalna pomoc inwestycyjna</t>
  </si>
  <si>
    <t>de minimis (notyfikowana)?</t>
  </si>
  <si>
    <t>NIE</t>
  </si>
  <si>
    <t>TAK</t>
  </si>
  <si>
    <t>okres nowy inwestycyjny</t>
  </si>
  <si>
    <t>okres zmiana inwestycyjny</t>
  </si>
  <si>
    <t>okres zmiana schodkowy</t>
  </si>
  <si>
    <t>Tekst</t>
  </si>
  <si>
    <t>de minimis (notyfikowana)</t>
  </si>
  <si>
    <t>Produkt pełna nazwa</t>
  </si>
  <si>
    <t>Produkt skrót</t>
  </si>
  <si>
    <t xml:space="preserve">kod produktu: </t>
  </si>
  <si>
    <t>nr pomocy</t>
  </si>
  <si>
    <t>warianty</t>
  </si>
  <si>
    <t>Wybierz rodzaj pomocy.</t>
  </si>
  <si>
    <t>Wybierz produkt.</t>
  </si>
  <si>
    <t>maxOkres</t>
  </si>
  <si>
    <t>okres nowy schodkowy</t>
  </si>
  <si>
    <t>Wyliczenia</t>
  </si>
  <si>
    <t>Wariant</t>
  </si>
  <si>
    <t xml:space="preserve">Wartość pomocy </t>
  </si>
  <si>
    <t>Parametry</t>
  </si>
  <si>
    <t>PR - Ryzyko</t>
  </si>
  <si>
    <t xml:space="preserve">KA- koszty </t>
  </si>
  <si>
    <t xml:space="preserve">WK - koszt kapitału </t>
  </si>
  <si>
    <t>Kwota gwarancji</t>
  </si>
  <si>
    <t xml:space="preserve">przedłużenie </t>
  </si>
  <si>
    <t>Stawka bezpieczna</t>
  </si>
  <si>
    <t>suma</t>
  </si>
  <si>
    <t>Standardowa</t>
  </si>
  <si>
    <t>Notyfikowana</t>
  </si>
  <si>
    <t xml:space="preserve">Pomoc RAZEM </t>
  </si>
  <si>
    <t>Stopa dysko. (i)</t>
  </si>
  <si>
    <t>Stawka prefer. (PP)</t>
  </si>
  <si>
    <t>Lata</t>
  </si>
  <si>
    <t>Początek gwarancji</t>
  </si>
  <si>
    <t>Koniec gwarancji</t>
  </si>
  <si>
    <t>z kalkulatora</t>
  </si>
  <si>
    <t>z parametrów</t>
  </si>
  <si>
    <t>wysokość prowizji</t>
  </si>
  <si>
    <t>aidDate</t>
  </si>
  <si>
    <t>produkt</t>
  </si>
  <si>
    <t xml:space="preserve">3. </t>
  </si>
  <si>
    <r>
      <t xml:space="preserve">inwestycyjny – </t>
    </r>
    <r>
      <rPr>
        <sz val="8"/>
        <rFont val="Tahoma"/>
        <family val="2"/>
        <charset val="238"/>
      </rPr>
      <t>spłata nie powoduje odnowiene kredytu; udzielony na finansowanie materialnych i niematerialnych inwestycji związanych z prowadzoną działalnością gospodarczą</t>
    </r>
  </si>
  <si>
    <t>dzień udzielenia pomocy</t>
  </si>
  <si>
    <t>notyfikowana</t>
  </si>
  <si>
    <t>standardowa</t>
  </si>
  <si>
    <t>Przekroczenie progu</t>
  </si>
  <si>
    <t>pomoc?</t>
  </si>
  <si>
    <t>Rodzaj pomocy nie może być wprowadzony.</t>
  </si>
  <si>
    <t>Sektor działalności prowadzonej przez Wnioskodawcę nie może być wprowadzony.</t>
  </si>
  <si>
    <t>Dotychczas uzyskana pomoc w EUR nie może być wprowadzona.</t>
  </si>
  <si>
    <t>Kurs euro nie może być wprowadzony.</t>
  </si>
  <si>
    <t xml:space="preserve">wybrana pomoc PLN: </t>
  </si>
  <si>
    <t xml:space="preserve"> €: </t>
  </si>
  <si>
    <t xml:space="preserve">kurs EUR z dnia udzielenia pomocy: </t>
  </si>
  <si>
    <t>Dzień udzielenia pomocy nie może być wprowadzony.</t>
  </si>
  <si>
    <t xml:space="preserve">dzień udzielenia pomocy: </t>
  </si>
  <si>
    <t xml:space="preserve">kursEURO: </t>
  </si>
  <si>
    <t>Początek okresu ważności gwarancji nie może być późniejszy od dnia udzielenia pomocy.</t>
  </si>
  <si>
    <t>Początek okresu ważności gwarancji musi być równy dniu udzielenia pomocy.</t>
  </si>
  <si>
    <t>rocz</t>
  </si>
  <si>
    <t>nowa</t>
  </si>
  <si>
    <t>prze-pod</t>
  </si>
  <si>
    <t>skr-pod</t>
  </si>
  <si>
    <t>pod</t>
  </si>
  <si>
    <t>prze</t>
  </si>
  <si>
    <t xml:space="preserve"> produkt</t>
  </si>
  <si>
    <t>Przedłużenie nie może być dłuższe niż 120 miesięcy.</t>
  </si>
  <si>
    <t>em.wu.7af &amp; a.ka.7c4</t>
  </si>
  <si>
    <t>od</t>
  </si>
  <si>
    <t xml:space="preserve">2. okres do: </t>
  </si>
  <si>
    <t xml:space="preserve">1. okres do: </t>
  </si>
  <si>
    <t xml:space="preserve">3. okres do: </t>
  </si>
  <si>
    <t>korekta pomocy</t>
  </si>
  <si>
    <t>Typ kredytu nie może być wprowadzony.</t>
  </si>
  <si>
    <r>
      <t>1</t>
    </r>
    <r>
      <rPr>
        <b/>
        <sz val="8"/>
        <color rgb="FF000000"/>
        <rFont val="Calibri"/>
        <family val="2"/>
        <charset val="238"/>
      </rPr>
      <t>ᴺ</t>
    </r>
  </si>
  <si>
    <t>do</t>
  </si>
  <si>
    <t>Kwoty do wyliczenia korekty pomocy</t>
  </si>
  <si>
    <t>Help</t>
  </si>
  <si>
    <t xml:space="preserve">opis do  help: </t>
  </si>
  <si>
    <t xml:space="preserve">Podpowiedź </t>
  </si>
  <si>
    <r>
      <t>Pole należy uzupełnić poprzez wybranie zaproponowanych odpowiedzi:
1.</t>
    </r>
    <r>
      <rPr>
        <b/>
        <sz val="8"/>
        <color theme="1"/>
        <rFont val="Tahoma"/>
        <family val="2"/>
        <charset val="238"/>
      </rPr>
      <t xml:space="preserve"> transport drogowy towarów</t>
    </r>
    <r>
      <rPr>
        <sz val="8"/>
        <color theme="1"/>
        <rFont val="Tahoma"/>
        <family val="2"/>
        <charset val="238"/>
      </rPr>
      <t xml:space="preserve"> – należy wybrać w przypadku, jeżeli Wnioskodawca prowadzi działalność w zakresie transportu drogowego towarów.
2. inny – należy wybrać w przypadku, jeżeli Wnioskodawca nie prowadzi działalności w zakresie transportu drogowego towarów.</t>
    </r>
  </si>
  <si>
    <t>Pole należy wypełnić wartością liczbową.
Należy podać kwotę gwarancji po zmianie.</t>
  </si>
  <si>
    <t>Pole należy wypełnić w formacie daty zgodnym z ustawieniami regionalnymi (zazwyczaj RRRR-MM-DD).
Należy wpisać datę nowego końca okresu obowiązywania gwarancji.</t>
  </si>
  <si>
    <t>Pole należy wypełnić wartością liczbową, z dokładnością do czterech miejsc po przecinku.
Wymagany w tym polu kurs EUR z dnia udzielenia pomocy jest dostępny na stronach NBP po godzinie 12.00.</t>
  </si>
  <si>
    <t>Pole należy wypełnić wartością liczbową.
Kwota gwarancji stanowiąca podstawę wyliczenia opłaty, wyliczona w oparciu o procent gwarancji od kwoty kredytu pozostającego do spłaty, tj. salda kredytu z dnia wskazanego w opisie pola.</t>
  </si>
  <si>
    <t>err1</t>
  </si>
  <si>
    <t>hld</t>
  </si>
  <si>
    <t xml:space="preserve"> </t>
  </si>
  <si>
    <t>8.</t>
  </si>
  <si>
    <t>Wprowadź kwotę gwarancji stanowiącą podstawę do wyliczania korekty pomocy.</t>
  </si>
  <si>
    <t>Kwota gwarancji stanowiąca podstawę do wyliczania korekty pomocy nie może być wprowadzona.</t>
  </si>
  <si>
    <t>Kwota gwarancji stanowiąca podstawę do wyliczania korekty pomocy nie może być wyższa od udzielonej kwoty gwarancji.</t>
  </si>
  <si>
    <t>Pola należy uzupełnić kwotą gwarancji stanawoiącą podstawę do wyliczenia pomocy.
Kwotę należy wyliczyć w oparciu o procent gwarancji od najwyższego salda kapitału kredytu we wskazanym okresie. W przypadku niezakończonych okresów, do obliczeń używana jest podstawa z ostatniego zakończonego okresu.</t>
  </si>
  <si>
    <t>de minimis standardowa</t>
  </si>
  <si>
    <t>de minimis notyfikowana</t>
  </si>
  <si>
    <t>Korygować można tylko pomoc de minimis wyliczoną według metody notyfikowanej.</t>
  </si>
  <si>
    <t>warianty pomocy dla POIR i POPC</t>
  </si>
  <si>
    <t>Wyliczenie pomocy wymaga podania dodatkowych informacji. Prosimy skontaktować się z BGK.</t>
  </si>
  <si>
    <t>Pole należy uzupełnić poprzez wybranie rodzaju pomocy de minimis notyfikowana.</t>
  </si>
  <si>
    <t>obrotowy odnawialny</t>
  </si>
  <si>
    <t>obrotowy nieodnawialny</t>
  </si>
  <si>
    <t>okres nowy obrotowy odnawialny</t>
  </si>
  <si>
    <t>okres nowy obrotowy nieodnawialny</t>
  </si>
  <si>
    <t>okres zmiana obrotowy odnawialny</t>
  </si>
  <si>
    <t>okres zmiana obrotowy nieodnawialny</t>
  </si>
  <si>
    <r>
      <rPr>
        <b/>
        <sz val="8"/>
        <color indexed="8"/>
        <rFont val="Tahoma"/>
        <family val="2"/>
        <charset val="238"/>
      </rPr>
      <t xml:space="preserve">obrotowy odnawialny </t>
    </r>
    <r>
      <rPr>
        <sz val="8"/>
        <color indexed="8"/>
        <rFont val="Tahoma"/>
        <family val="2"/>
        <charset val="238"/>
      </rPr>
      <t>– każda spłata kredytu powoduje jego odnowienie, dając możliwość wielokrotnego wykorzystania w ramach limitu kredytowego.</t>
    </r>
  </si>
  <si>
    <r>
      <rPr>
        <b/>
        <sz val="8"/>
        <color indexed="8"/>
        <rFont val="Tahoma"/>
        <family val="2"/>
        <charset val="238"/>
      </rPr>
      <t>obrotowy nieodnawialny</t>
    </r>
    <r>
      <rPr>
        <sz val="8"/>
        <color indexed="8"/>
        <rFont val="Tahoma"/>
        <family val="2"/>
        <charset val="238"/>
      </rPr>
      <t xml:space="preserve"> – spłata nie powoduje odnowienia kredytu; nie ma możliwości ponownego wykorzystania kwoty kredytu.</t>
    </r>
  </si>
  <si>
    <r>
      <t xml:space="preserve">Pole należy pozostawić puste (wybierz pustą wartość z listy lub wyczyść pole klawiszem </t>
    </r>
    <r>
      <rPr>
        <i/>
        <sz val="8"/>
        <color theme="1"/>
        <rFont val="Tahoma"/>
        <family val="2"/>
        <charset val="238"/>
      </rPr>
      <t>DELETE</t>
    </r>
    <r>
      <rPr>
        <sz val="8"/>
        <color theme="1"/>
        <rFont val="Tahoma"/>
        <family val="2"/>
        <charset val="238"/>
      </rPr>
      <t>).</t>
    </r>
  </si>
  <si>
    <t>według metody standardowej</t>
  </si>
  <si>
    <t>według metody notyfikowanej</t>
  </si>
  <si>
    <t>Pole należy wypełnić w formacie daty zgodnym z ustawieniami regionalnymi (zazwyczaj RRRR-MM-DD).
Wypełnienie pola jest wymagane w przypadku kalkulacji wartości pomocy/wartości prowizji przy zmianie transakcji już objętej gwarancją. Zmiana musi dotyczyć przedłużenia okresu obowiązywania gwarancji. Należy wpisać datę nowego końca okresu obowiązywania gwarancji.</t>
  </si>
  <si>
    <r>
      <rPr>
        <b/>
        <sz val="8"/>
        <color indexed="8"/>
        <rFont val="Tahoma"/>
        <family val="2"/>
        <charset val="238"/>
      </rPr>
      <t>podwyższenie</t>
    </r>
    <r>
      <rPr>
        <sz val="8"/>
        <color theme="1"/>
        <rFont val="Tahoma"/>
        <family val="2"/>
        <charset val="238"/>
      </rPr>
      <t xml:space="preserve"> – należy wybrać tylko w przypadku wyliczania wartości pomocy/wartości prowizji dla transakcji objętej już gwarancją, jeśli dokonywana zmiana polega na podwyższeniu kwoty gwarancji przy zachowaniu dotychczasowego okresu ważności.</t>
    </r>
  </si>
  <si>
    <r>
      <rPr>
        <b/>
        <sz val="8"/>
        <color indexed="8"/>
        <rFont val="Tahoma"/>
        <family val="2"/>
        <charset val="238"/>
      </rPr>
      <t>przedłużenie</t>
    </r>
    <r>
      <rPr>
        <sz val="8"/>
        <color theme="1"/>
        <rFont val="Tahoma"/>
        <family val="2"/>
        <charset val="238"/>
      </rPr>
      <t xml:space="preserve"> – należy wybrać tylko w przypadku wyliczania wartości pomocy/wartości prowizji
dla transakcji objętej już gwarancją, jeśli dokonywana zmiana polega na przedłużeniu okresu
ważności gwarancji przy zachowaniu dotychczasowej kwoty gwarancji.</t>
    </r>
  </si>
  <si>
    <r>
      <rPr>
        <b/>
        <sz val="8"/>
        <color indexed="8"/>
        <rFont val="Tahoma"/>
        <family val="2"/>
        <charset val="238"/>
      </rPr>
      <t>przedłużenie z obniżeniem</t>
    </r>
    <r>
      <rPr>
        <sz val="8"/>
        <color indexed="8"/>
        <rFont val="Tahoma"/>
        <family val="2"/>
        <charset val="238"/>
      </rPr>
      <t xml:space="preserve"> – należy wybrać tylko w przypadku wyliczania wartości pomocy/wartości prowizji dla transakcji objętej już gwarancją, jeśli dokonywana zmiana polega na przedłużeniu
okresu ważności gwarancji przy jednoczesnym obniżeniu dotychczasowej kwoty gwarancji.
</t>
    </r>
    <r>
      <rPr>
        <b/>
        <sz val="8"/>
        <color indexed="10"/>
        <rFont val="Tahoma"/>
        <family val="2"/>
        <charset val="238"/>
      </rPr>
      <t>Uwaga:</t>
    </r>
    <r>
      <rPr>
        <sz val="8"/>
        <color indexed="10"/>
        <rFont val="Tahoma"/>
        <family val="2"/>
        <charset val="238"/>
      </rPr>
      <t xml:space="preserve"> wybór wariantu </t>
    </r>
    <r>
      <rPr>
        <i/>
        <sz val="8"/>
        <color indexed="10"/>
        <rFont val="Tahoma"/>
        <family val="2"/>
        <charset val="238"/>
      </rPr>
      <t>przedłużenie z obniżeniem</t>
    </r>
    <r>
      <rPr>
        <sz val="8"/>
        <color indexed="10"/>
        <rFont val="Tahoma"/>
        <family val="2"/>
        <charset val="238"/>
      </rPr>
      <t xml:space="preserve"> zakłada obniżenie kwoty gwarancji od daty przedłużenia; nie ma możliwości dokonania obniżenia kwoty gwarancji w innej dacie.</t>
    </r>
  </si>
  <si>
    <r>
      <rPr>
        <b/>
        <sz val="8"/>
        <color indexed="8"/>
        <rFont val="Tahoma"/>
        <family val="2"/>
        <charset val="238"/>
      </rPr>
      <t>przedłużenie z podwyższeniem</t>
    </r>
    <r>
      <rPr>
        <sz val="8"/>
        <color indexed="8"/>
        <rFont val="Tahoma"/>
        <family val="2"/>
        <charset val="238"/>
      </rPr>
      <t xml:space="preserve"> – należy wybrać tylko w przypadku wyliczania wartości pomocy/wartości prowizji dla transakcji objętej już gwarancją, jeśli dokonywana zmiana polega na przedłużeniu okresu ważności gwarancji oraz podwyższeniu kwoty gwarancji.
</t>
    </r>
    <r>
      <rPr>
        <b/>
        <sz val="8"/>
        <color indexed="10"/>
        <rFont val="Tahoma"/>
        <family val="2"/>
        <charset val="238"/>
      </rPr>
      <t xml:space="preserve">Uwaga: </t>
    </r>
    <r>
      <rPr>
        <sz val="8"/>
        <color indexed="10"/>
        <rFont val="Tahoma"/>
        <family val="2"/>
        <charset val="238"/>
      </rPr>
      <t>podwyższenie kwoty gwarancji może być dokonane niezależnie od daty przedłużenia.</t>
    </r>
  </si>
  <si>
    <r>
      <t xml:space="preserve">korekta pomocy –  </t>
    </r>
    <r>
      <rPr>
        <sz val="8"/>
        <color theme="1"/>
        <rFont val="Tahoma"/>
        <family val="2"/>
        <charset val="238"/>
      </rPr>
      <t>należy wybrać w przypadku ponownego przeliczenia wartości pomocy w celu skorygowania wydanego zaświadczenia o udzielenie pomocy.</t>
    </r>
    <r>
      <rPr>
        <b/>
        <sz val="8"/>
        <color theme="1"/>
        <rFont val="Tahoma"/>
        <family val="2"/>
        <charset val="238"/>
      </rPr>
      <t xml:space="preserve">
</t>
    </r>
    <r>
      <rPr>
        <b/>
        <sz val="8"/>
        <color rgb="FFFF0000"/>
        <rFont val="Tahoma"/>
        <family val="2"/>
        <charset val="238"/>
      </rPr>
      <t>Uwaga</t>
    </r>
    <r>
      <rPr>
        <sz val="8"/>
        <color rgb="FFFF0000"/>
        <rFont val="Tahoma"/>
        <family val="2"/>
        <charset val="238"/>
      </rPr>
      <t>: korekty nie należy używać dla transkacji w ktrórej nastąpiło podwyższnie kwoty gwarancji, w takim przypadku należy skontaktować się bezpośrednio z BGK.</t>
    </r>
  </si>
  <si>
    <r>
      <t>Pole należy wypełnić wartością liczbową.</t>
    </r>
    <r>
      <rPr>
        <sz val="8"/>
        <color indexed="8"/>
        <rFont val="Tahoma"/>
        <family val="2"/>
        <charset val="238"/>
      </rPr>
      <t xml:space="preserve">
Wypełnienie pola jest wymagane w przypadku kalkulacji wartości pomocy/wartości prowizji przy zmianie transakcji już objętej gwarancją. 
Należy wpisać </t>
    </r>
    <r>
      <rPr>
        <sz val="8"/>
        <color indexed="10"/>
        <rFont val="Tahoma"/>
        <family val="2"/>
        <charset val="238"/>
      </rPr>
      <t>aktualną</t>
    </r>
    <r>
      <rPr>
        <sz val="8"/>
        <color indexed="8"/>
        <rFont val="Tahoma"/>
        <family val="2"/>
        <charset val="238"/>
      </rPr>
      <t xml:space="preserve"> kwotę gwarancji de minimis w PLN – kwotę gwarancji wynikającą z zawartej
umowy i wszystkich aneksów zawartych do dnia kalkulacji bieżącej zmiany.</t>
    </r>
  </si>
  <si>
    <r>
      <t>Pole należy wypełnić wartością liczbową.</t>
    </r>
    <r>
      <rPr>
        <sz val="8"/>
        <color indexed="8"/>
        <rFont val="Tahoma"/>
        <family val="2"/>
        <charset val="238"/>
      </rPr>
      <t xml:space="preserve">
Wypełnienie pola jest wymagane w przypadku kalkulacji wartości pomocy/wartości prowizji przy zmianie transakcji już objętej gwarancją. Zmiana musi dotyczyć kwoty gwarancji. 
Należy podać kwotę gwarancji po zmianie.</t>
    </r>
  </si>
  <si>
    <r>
      <t>Pole należy wypełnić w formacie daty zgodnym z ustawieniami regionalnymi (zazwyczaj RRRR-MM-DD).</t>
    </r>
    <r>
      <rPr>
        <sz val="8"/>
        <color indexed="8"/>
        <rFont val="Tahoma"/>
        <family val="2"/>
        <charset val="238"/>
      </rPr>
      <t xml:space="preserve">
Wypełnienie pola jest wymagane w przypadku kalkulacji wartości pomocy/wartości prowizji przy zmianie transakcji już objętej gwarancją. Zmiana musi dotyczyć kwoty gwarancji. 
Należy wpisać faktyczną datę podwyższenia kwoty gwarancji.</t>
    </r>
  </si>
  <si>
    <r>
      <rPr>
        <sz val="8"/>
        <color indexed="8"/>
        <rFont val="Tahoma"/>
        <family val="2"/>
        <charset val="238"/>
      </rPr>
      <t>Pole nieaktywne.</t>
    </r>
    <r>
      <rPr>
        <i/>
        <sz val="8"/>
        <color indexed="8"/>
        <rFont val="Tahoma"/>
        <family val="2"/>
        <charset val="238"/>
      </rPr>
      <t xml:space="preserve">
</t>
    </r>
    <r>
      <rPr>
        <sz val="8"/>
        <color indexed="8"/>
        <rFont val="Tahoma"/>
        <family val="2"/>
        <charset val="238"/>
      </rPr>
      <t xml:space="preserve">Przy wyborze wariantu </t>
    </r>
    <r>
      <rPr>
        <i/>
        <sz val="8"/>
        <color indexed="8"/>
        <rFont val="Tahoma"/>
        <family val="2"/>
        <charset val="238"/>
      </rPr>
      <t>przedłużenie z obniżeniem</t>
    </r>
    <r>
      <rPr>
        <sz val="8"/>
        <color indexed="8"/>
        <rFont val="Tahoma"/>
        <family val="2"/>
        <charset val="238"/>
      </rPr>
      <t xml:space="preserve"> (pole nr 1), kalkulator wylicza pomoc/wartość prowizji od obniżonej kwoty za okres przedłużenia. Przedłużenie z obniżeniem jest możliwe do zastosowania w jednej dacie.</t>
    </r>
  </si>
  <si>
    <r>
      <rPr>
        <b/>
        <sz val="8"/>
        <color indexed="8"/>
        <rFont val="Tahoma"/>
        <family val="2"/>
        <charset val="238"/>
      </rPr>
      <t>skrócenie z podwyższeniem</t>
    </r>
    <r>
      <rPr>
        <sz val="8"/>
        <color theme="1"/>
        <rFont val="Tahoma"/>
        <family val="2"/>
        <charset val="238"/>
      </rPr>
      <t xml:space="preserve"> – należy wybrać tylko w przypadku wyliczania wartości pomocy/wartości prowizji dla transakcji objętej już gwarancją, jeśli dokonywana zmiana polega na podwyższeniu kwoty gwarancji oraz skróceniu dotychczasowego okresu ważności gwarancji.</t>
    </r>
  </si>
  <si>
    <r>
      <rPr>
        <b/>
        <sz val="8"/>
        <rFont val="Tahoma"/>
        <family val="2"/>
        <charset val="238"/>
      </rPr>
      <t>regionalna pomoc inwestycyjna</t>
    </r>
    <r>
      <rPr>
        <sz val="8"/>
        <rFont val="Tahoma"/>
        <family val="2"/>
        <charset val="238"/>
      </rPr>
      <t xml:space="preserve"> – należy wybrać w przypadku wyliczenia pomocy dla gwarancji udzielonych na podstawie rozporządzenia KE 651/2014 . Wariant możliwy do wyboru tylko dla gwarancji udzielanych w ramach Biznesmax.</t>
    </r>
    <r>
      <rPr>
        <strike/>
        <sz val="8"/>
        <rFont val="Tahoma"/>
        <family val="2"/>
        <charset val="238"/>
      </rPr>
      <t xml:space="preserve">
</t>
    </r>
  </si>
  <si>
    <t>Kalkulator</t>
  </si>
  <si>
    <r>
      <t xml:space="preserve">pomoc publiczna  – </t>
    </r>
    <r>
      <rPr>
        <sz val="8"/>
        <rFont val="Tahoma"/>
        <family val="2"/>
        <charset val="238"/>
      </rPr>
      <t xml:space="preserve"> należy wybrać w przypadku wyliczenia pomocy dla gwarancji udzielonych na podstawie rozporządzenia PE i Rady UE 1305/2013. Wariant możliwy do wyboru tylko dla gwarancji udzielanych w ramach Funduszu Gwarancji Rolnych</t>
    </r>
    <r>
      <rPr>
        <b/>
        <sz val="8"/>
        <rFont val="Tahoma"/>
        <family val="2"/>
        <charset val="238"/>
      </rPr>
      <t>.</t>
    </r>
  </si>
  <si>
    <r>
      <rPr>
        <b/>
        <sz val="8"/>
        <rFont val="Tahoma"/>
        <family val="2"/>
        <charset val="238"/>
      </rPr>
      <t>de minimis</t>
    </r>
    <r>
      <rPr>
        <sz val="8"/>
        <rFont val="Tahoma"/>
        <family val="2"/>
        <charset val="238"/>
      </rPr>
      <t xml:space="preserve"> –  inna niż pomoc de minimis w rolnictwie lub rybołówstwie, spełniająca przesłanki określone we właściwych przepisach prawa Unii Europejskiej o której mowa w rozporządzeniu KE 1407/2013.</t>
    </r>
  </si>
  <si>
    <t xml:space="preserve">Parametr od dnia </t>
  </si>
  <si>
    <t>Pole należy uzupełnić wartością liczbową w EUR.
Należy podać sumę wszystkich dotychczas uzyskanych pomocy de minimis w bieżącym roku oraz dwóch poprzednich, nie tylko pomocy z tytułu gwarancji de minimis.</t>
  </si>
  <si>
    <t>Gwarancja de minimis</t>
  </si>
  <si>
    <t>Gwarancja COSME</t>
  </si>
  <si>
    <t>Gwarancja Biznesmax</t>
  </si>
  <si>
    <t>Gwarancja POPC</t>
  </si>
  <si>
    <t>Gwarancja Kreatywna Europa</t>
  </si>
  <si>
    <t>Gwarancja FGR przetwórca</t>
  </si>
  <si>
    <t>Gwarancja FGR rolnik</t>
  </si>
  <si>
    <r>
      <rPr>
        <b/>
        <sz val="8"/>
        <color theme="1"/>
        <rFont val="Tahoma"/>
        <family val="2"/>
        <charset val="238"/>
      </rPr>
      <t xml:space="preserve">Gwarancja de minimis </t>
    </r>
    <r>
      <rPr>
        <sz val="8"/>
        <color theme="1"/>
        <rFont val="Tahoma"/>
        <family val="2"/>
        <charset val="238"/>
      </rPr>
      <t>– gwarancja de minimis w ramach Krajowego Funduszu Gwarancyjnego.</t>
    </r>
  </si>
  <si>
    <r>
      <rPr>
        <b/>
        <sz val="8"/>
        <color theme="1"/>
        <rFont val="Tahoma"/>
        <family val="2"/>
        <charset val="238"/>
      </rPr>
      <t>Gwarancja COSME</t>
    </r>
    <r>
      <rPr>
        <sz val="8"/>
        <color theme="1"/>
        <rFont val="Tahoma"/>
        <family val="2"/>
        <charset val="238"/>
      </rPr>
      <t xml:space="preserve">  – gwarancja z regwarancją Europejskiego Funduszu Inwestycyjnego w ramach programu COSME.</t>
    </r>
  </si>
  <si>
    <r>
      <rPr>
        <b/>
        <sz val="8"/>
        <color theme="1"/>
        <rFont val="Tahoma"/>
        <family val="2"/>
        <charset val="238"/>
      </rPr>
      <t xml:space="preserve">Gwarancja Biznesmax  – </t>
    </r>
    <r>
      <rPr>
        <sz val="8"/>
        <color theme="1"/>
        <rFont val="Tahoma"/>
        <family val="2"/>
        <charset val="238"/>
      </rPr>
      <t>gwarancja ze środków Funduszu Gwarancyjnego Programu Operacyjnego Inteligentny Rozwój.</t>
    </r>
  </si>
  <si>
    <r>
      <rPr>
        <b/>
        <sz val="8"/>
        <color theme="1"/>
        <rFont val="Tahoma"/>
        <family val="2"/>
        <charset val="238"/>
      </rPr>
      <t xml:space="preserve">Gwarancja POPC – </t>
    </r>
    <r>
      <rPr>
        <sz val="8"/>
        <color theme="1"/>
        <rFont val="Tahoma"/>
        <family val="2"/>
        <charset val="238"/>
      </rPr>
      <t>gwarancja z Programu Operacyjnego Polska Cyfrowa.</t>
    </r>
  </si>
  <si>
    <r>
      <rPr>
        <b/>
        <sz val="8"/>
        <color theme="1"/>
        <rFont val="Tahoma"/>
        <family val="2"/>
        <charset val="238"/>
      </rPr>
      <t xml:space="preserve">Gwarancja Kreatywna Europa – </t>
    </r>
    <r>
      <rPr>
        <sz val="8"/>
        <color theme="1"/>
        <rFont val="Tahoma"/>
        <family val="2"/>
        <charset val="238"/>
      </rPr>
      <t xml:space="preserve"> gwarancja z regwarancją Europejskiego Funduszu Inwestycyjnego dla podmiotów działających w sektorach kultury i kreatywnych.</t>
    </r>
  </si>
  <si>
    <r>
      <t xml:space="preserve">Gwarancja FGR przetwórca  – </t>
    </r>
    <r>
      <rPr>
        <sz val="8"/>
        <color theme="1"/>
        <rFont val="Tahoma"/>
        <family val="2"/>
        <charset val="238"/>
      </rPr>
      <t>gwarancja dla przedsiębiorstw przetwórstwa rolno-spożywczego finansowana ze środków Funduszu Gwarancji Rolnych.</t>
    </r>
  </si>
  <si>
    <r>
      <rPr>
        <b/>
        <sz val="8"/>
        <color theme="1"/>
        <rFont val="Tahoma"/>
        <family val="2"/>
        <charset val="238"/>
      </rPr>
      <t>Gwarancja FGR rolnik</t>
    </r>
    <r>
      <rPr>
        <sz val="8"/>
        <color theme="1"/>
        <rFont val="Tahoma"/>
        <family val="2"/>
        <charset val="238"/>
      </rPr>
      <t xml:space="preserve">  – gwarancja dla producentów produkcji podstawowej finansowana ze środków Funduszu Gwarancji Rolnych.</t>
    </r>
  </si>
  <si>
    <t>Prowizja</t>
  </si>
  <si>
    <t xml:space="preserve">Stawka prowizyjna wynosi 0% - prowizja jest nienależna. </t>
  </si>
  <si>
    <t>max okres dla rocznicy</t>
  </si>
  <si>
    <t>Parametr od dnia</t>
  </si>
  <si>
    <t>Produkt</t>
  </si>
  <si>
    <t>Klucz</t>
  </si>
  <si>
    <t>data zawarcia umowy</t>
  </si>
  <si>
    <t>Pole należy wypełnić w formacie daty zgodnym z ustawieniami regionalnymi (zazwyczaj RRRR-MM-DD).
Data zawarcia umowy kredytowej. W przypadku podwyższenia kwoty gwarancji lub przedłużenia terminu ważności gwarancji, należy podać pierwotną datę zawarcia umowy kredytowej.</t>
  </si>
  <si>
    <t xml:space="preserve">Początek okresu ważnośći gwarancji nie może być wcześniejszy od daty zawarcia umowy. </t>
  </si>
  <si>
    <t>Okres obrotowy</t>
  </si>
  <si>
    <t>COSME_44562</t>
  </si>
  <si>
    <t>Gwarancja leasingu</t>
  </si>
  <si>
    <t>LGL</t>
  </si>
  <si>
    <t>9.</t>
  </si>
  <si>
    <r>
      <rPr>
        <b/>
        <sz val="8"/>
        <color indexed="8"/>
        <rFont val="Tahoma"/>
        <family val="2"/>
        <charset val="238"/>
      </rPr>
      <t>nowa gwarancja</t>
    </r>
    <r>
      <rPr>
        <sz val="8"/>
        <color theme="1"/>
        <rFont val="Tahoma"/>
        <family val="2"/>
        <charset val="238"/>
      </rPr>
      <t xml:space="preserve"> – należy wybrać tylko w przypadku wyliczania wartości pomocy publicznej dla nowej gwarancji.</t>
    </r>
  </si>
  <si>
    <t>nowa gwarancja (aktualizacja)</t>
  </si>
  <si>
    <r>
      <t xml:space="preserve">nowa gwarancja (aktualizacja) </t>
    </r>
    <r>
      <rPr>
        <sz val="8"/>
        <color theme="1"/>
        <rFont val="Tahoma"/>
        <family val="2"/>
        <charset val="238"/>
      </rPr>
      <t>– należy wybrać tylko w przypadku wyliczania wartości pomocy publicznej i prowizji wynikając z aktualizacji parametrów gwarancji dla nowej gwarancji.</t>
    </r>
    <r>
      <rPr>
        <b/>
        <sz val="8"/>
        <color rgb="FFFF0000"/>
        <rFont val="Tahoma"/>
        <family val="2"/>
        <charset val="238"/>
      </rPr>
      <t/>
    </r>
  </si>
  <si>
    <t xml:space="preserve">Data uruchomienia leasingu lub pożyczki leasingu nie może być wcześniejszy od daty udzielenia gwarancji. </t>
  </si>
  <si>
    <r>
      <rPr>
        <b/>
        <sz val="8"/>
        <color theme="1"/>
        <rFont val="Tahoma"/>
        <family val="2"/>
        <charset val="238"/>
      </rPr>
      <t>Gwarancja leasingu</t>
    </r>
    <r>
      <rPr>
        <sz val="8"/>
        <color theme="1"/>
        <rFont val="Tahoma"/>
        <family val="2"/>
        <charset val="238"/>
      </rPr>
      <t xml:space="preserve">  –  gwarancja spłaty leasingu lub pożyczki leasingu w ramach Krajowego Funduszu Gwarancyjnego w formule pomocy de minimis.</t>
    </r>
  </si>
  <si>
    <r>
      <t xml:space="preserve">de minimis notyfikowana  – </t>
    </r>
    <r>
      <rPr>
        <sz val="8"/>
        <rFont val="Tahoma"/>
        <family val="2"/>
        <charset val="238"/>
      </rPr>
      <t xml:space="preserve"> należy wybrać w przypadku gdy metoda ta została zastosowana do wyliczenia pomocy przy udzieleniu pierwotnej gwarancji. Wariant możliwy do wyboru tylko dla produktu Biznesmax w przypadku zmiany kwoty i/lub okresu trwania gwarancji.</t>
    </r>
  </si>
  <si>
    <r>
      <t>de minimis standardowa  –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należy wybrać w przypadku gdy metoda ta została zastosowana do wyliczenia pomocy przy udzieleniu pierwotnej gwarancji. Wariant możliwy do wyboru tylko dla produktu Biznesmax w przypadku zmiany kwoty i/lub okresu trwania gwarancji.</t>
    </r>
  </si>
  <si>
    <t>Pole należy wypełnić w formacie daty zgodnym z ustawieniami regionalnymi (zazwyczaj RRRR-MM-DD).
Dzień udzielenia gwarancji. W przypadku podwyższenia kwoty gwarancji lub przedłużenia terminu ważności gwarancji, dniem udzielenia nowej pomocy jest dzień zawarcia i wpisania do rejestru aneksu w sprawie podwyższenia kwoty zobowiązania lub przedłużenia okresu zobowiązania objętego gwarancją.</t>
  </si>
  <si>
    <t xml:space="preserve">Pole należy wypełnić wartością liczbową – kwota gwarancji stanowiąca podstawę wyliczenia opłaty, wyliczona w oparciu o procent gwarancji od kwoty zobowiązania pozostającego do spłaty, tj. salda zobowiązania z dnia wskazanego w opisie pola (data wyświetlana jest tylko wtedy, kiedy pole jest dostępne do edycji). </t>
  </si>
  <si>
    <r>
      <rPr>
        <sz val="8"/>
        <color indexed="8"/>
        <rFont val="Tahoma"/>
        <family val="2"/>
        <charset val="238"/>
      </rPr>
      <t xml:space="preserve">pole jest </t>
    </r>
    <r>
      <rPr>
        <b/>
        <sz val="8"/>
        <color indexed="8"/>
        <rFont val="Tahoma"/>
        <family val="2"/>
        <charset val="238"/>
      </rPr>
      <t>niedostępne</t>
    </r>
    <r>
      <rPr>
        <sz val="8"/>
        <color indexed="8"/>
        <rFont val="Tahoma"/>
        <family val="2"/>
        <charset val="238"/>
      </rPr>
      <t xml:space="preserve">, jeśli kwota zobowiązania pozostająca do spłaty </t>
    </r>
    <r>
      <rPr>
        <sz val="8"/>
        <color indexed="10"/>
        <rFont val="Tahoma"/>
        <family val="2"/>
        <charset val="238"/>
      </rPr>
      <t>nie ma wpływu</t>
    </r>
    <r>
      <rPr>
        <sz val="8"/>
        <color indexed="8"/>
        <rFont val="Tahoma"/>
        <family val="2"/>
        <charset val="238"/>
      </rPr>
      <t xml:space="preserve"> na wyliczanie prowizji (np. kredyt odnawialny, kalkulacja przeprowadzana w pierwszym okresie rocznicowym, brak prowizji do zapłaty itp.).</t>
    </r>
  </si>
  <si>
    <r>
      <t xml:space="preserve">pole jest </t>
    </r>
    <r>
      <rPr>
        <b/>
        <sz val="8"/>
        <color indexed="8"/>
        <rFont val="Tahoma"/>
        <family val="2"/>
        <charset val="238"/>
      </rPr>
      <t>opcjonalne</t>
    </r>
    <r>
      <rPr>
        <sz val="8"/>
        <color indexed="8"/>
        <rFont val="Tahoma"/>
        <family val="2"/>
        <charset val="238"/>
      </rPr>
      <t>, jeśli kwota zobowiązania pozostająca do spłaty ma wpływ na wyliczanie prowizji rocznicowej, ale nie ma wpływu na wyliczanie prowizji od zmiany (kredyt nieodnawialny lub schodkowy, kalkulacja przeprowadzana w miesiącu rocznicy, ale przed dniem rocznicy). W takiej sytuacji brak wypełnienia spowoduje wyliczenie prowizji wyłącznie za zmianę (wyliczenia prowizji rocznicowej należy dokonać w dniu rocznicy). Wypełnienie pola spowoduje naliczenie prowizji za zmianę oraz prowizji rocznicowej.</t>
    </r>
  </si>
  <si>
    <r>
      <rPr>
        <sz val="8"/>
        <color indexed="8"/>
        <rFont val="Tahoma"/>
        <family val="2"/>
        <charset val="238"/>
      </rPr>
      <t xml:space="preserve">pole jest </t>
    </r>
    <r>
      <rPr>
        <b/>
        <sz val="8"/>
        <color indexed="8"/>
        <rFont val="Tahoma"/>
        <family val="2"/>
        <charset val="238"/>
      </rPr>
      <t>wymagalne</t>
    </r>
    <r>
      <rPr>
        <sz val="8"/>
        <color indexed="8"/>
        <rFont val="Tahoma"/>
        <family val="2"/>
        <charset val="238"/>
      </rPr>
      <t>, jeśli kwota zobowiązania pozostająca do spłaty jest niezbędna do wyliczenia prowizji (np. prowizja rocznicowa dla kredytu nieodnawialnego lub schodkowego).</t>
    </r>
  </si>
  <si>
    <t>kwota gwarancji</t>
  </si>
  <si>
    <t>FENG</t>
  </si>
  <si>
    <t>1.0.30ß</t>
  </si>
  <si>
    <t>1.0.81ß</t>
  </si>
  <si>
    <t>Gwarancja Biznesmax Plus</t>
  </si>
  <si>
    <t>Gwarancja Ekomax</t>
  </si>
  <si>
    <t>Ekomax</t>
  </si>
  <si>
    <r>
      <rPr>
        <b/>
        <sz val="8"/>
        <color theme="1"/>
        <rFont val="Tahoma"/>
        <family val="2"/>
        <charset val="238"/>
      </rPr>
      <t xml:space="preserve">Gwarancja Biznesmax Plus </t>
    </r>
    <r>
      <rPr>
        <sz val="8"/>
        <color theme="1"/>
        <rFont val="Tahoma"/>
        <family val="2"/>
        <charset val="238"/>
      </rPr>
      <t>- gwarancja Biznesmax Plus ze środków Funduszu Europejskiego dla Nowoczesnej Gospodarki</t>
    </r>
  </si>
  <si>
    <r>
      <rPr>
        <b/>
        <sz val="8"/>
        <color theme="1"/>
        <rFont val="Tahoma"/>
        <family val="2"/>
        <charset val="238"/>
      </rPr>
      <t>Gwarancja Ekomax</t>
    </r>
    <r>
      <rPr>
        <sz val="8"/>
        <color theme="1"/>
        <rFont val="Tahoma"/>
        <family val="2"/>
        <charset val="238"/>
      </rPr>
      <t xml:space="preserve">  –  gwarancja Ekomax ze środków Funduszu Europejskiego dla Nowoczesnej Gospodarki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</si>
</sst>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0_ ;[Red]\-#,##0.00\ "/>
    <numFmt numFmtId="165" formatCode="#,##0.0000_ ;[Red]\-#,##0.0000\ "/>
    <numFmt numFmtId="166" formatCode="#,##0_ ;[Red]\-#,##0\ "/>
    <numFmt numFmtId="167" formatCode="0_ ;[Red]\-0\ "/>
    <numFmt numFmtId="168" formatCode="#,##0_ ;[Red]\-#,##0\ ;"/>
    <numFmt numFmtId="169" formatCode="#,##0.00_ ;[Red]\-#,##0.00\ ;"/>
    <numFmt numFmtId="170" formatCode="0_ ;[Red]\-0\ ;"/>
    <numFmt numFmtId="171" formatCode="0.0%"/>
    <numFmt numFmtId="172" formatCode="yyyy/mm/dd\ "/>
    <numFmt numFmtId="173" formatCode="mmmm\ yyyy"/>
    <numFmt numFmtId="174" formatCode="0.000_ ;[Red]\-0.000\ "/>
    <numFmt numFmtId="175" formatCode="mm/dd\ "/>
  </numFmts>
  <fonts count="69" x14ac:knownFonts="1">
    <font>
      <sz val="8"/>
      <color theme="1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10"/>
      <name val="Tahoma"/>
      <family val="2"/>
      <charset val="238"/>
    </font>
    <font>
      <i/>
      <sz val="8"/>
      <color indexed="8"/>
      <name val="Tahoma"/>
      <family val="2"/>
      <charset val="238"/>
    </font>
    <font>
      <u/>
      <sz val="8"/>
      <color indexed="10"/>
      <name val="Tahoma"/>
      <family val="2"/>
      <charset val="238"/>
    </font>
    <font>
      <u/>
      <sz val="8"/>
      <color indexed="8"/>
      <name val="Tahoma"/>
      <family val="2"/>
      <charset val="238"/>
    </font>
    <font>
      <b/>
      <sz val="8"/>
      <color indexed="10"/>
      <name val="Tahoma"/>
      <family val="2"/>
      <charset val="238"/>
    </font>
    <font>
      <i/>
      <sz val="8"/>
      <color indexed="10"/>
      <name val="Tahoma"/>
      <family val="2"/>
      <charset val="238"/>
    </font>
    <font>
      <b/>
      <sz val="8"/>
      <name val="Tahoma"/>
      <family val="2"/>
      <charset val="238"/>
    </font>
    <font>
      <sz val="8"/>
      <color indexed="9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23"/>
      <name val="Tahoma"/>
      <family val="2"/>
      <charset val="238"/>
    </font>
    <font>
      <b/>
      <sz val="18"/>
      <color indexed="10"/>
      <name val="Tahoma"/>
      <family val="2"/>
      <charset val="238"/>
    </font>
    <font>
      <i/>
      <sz val="8"/>
      <name val="Tahoma"/>
      <family val="2"/>
      <charset val="238"/>
    </font>
    <font>
      <sz val="8"/>
      <color theme="0"/>
      <name val="Tahoma"/>
      <family val="2"/>
      <charset val="238"/>
    </font>
    <font>
      <u/>
      <sz val="8"/>
      <color theme="1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8"/>
      <color theme="1" tint="0.249977111117893"/>
      <name val="Tahoma"/>
      <family val="2"/>
      <charset val="238"/>
    </font>
    <font>
      <sz val="8"/>
      <color theme="1" tint="0.14999847407452621"/>
      <name val="Tahoma"/>
      <family val="2"/>
      <charset val="238"/>
    </font>
    <font>
      <b/>
      <sz val="10"/>
      <color rgb="FF0070C0"/>
      <name val="Wingdings 3"/>
      <family val="1"/>
      <charset val="2"/>
    </font>
    <font>
      <sz val="8"/>
      <color theme="5" tint="0.59999389629810485"/>
      <name val="Tahoma"/>
      <family val="2"/>
      <charset val="238"/>
    </font>
    <font>
      <sz val="8"/>
      <color theme="1" tint="0.34998626667073579"/>
      <name val="Tahoma"/>
      <family val="2"/>
      <charset val="238"/>
    </font>
    <font>
      <sz val="8"/>
      <color theme="0" tint="-4.9989318521683403E-2"/>
      <name val="Tahoma"/>
      <family val="2"/>
      <charset val="238"/>
    </font>
    <font>
      <sz val="8"/>
      <color theme="2"/>
      <name val="Tahoma"/>
      <family val="2"/>
      <charset val="238"/>
    </font>
    <font>
      <sz val="8"/>
      <color theme="0" tint="-0.14999847407452621"/>
      <name val="Tahoma"/>
      <family val="2"/>
      <charset val="238"/>
    </font>
    <font>
      <b/>
      <sz val="8"/>
      <color theme="0" tint="-4.9989318521683403E-2"/>
      <name val="Tahoma"/>
      <family val="2"/>
      <charset val="238"/>
    </font>
    <font>
      <sz val="20"/>
      <color theme="2" tint="-0.89999084444715716"/>
      <name val="Webdings"/>
      <family val="1"/>
      <charset val="2"/>
    </font>
    <font>
      <sz val="19"/>
      <color rgb="FFFF0000"/>
      <name val="Wingdings 2"/>
      <family val="1"/>
      <charset val="2"/>
    </font>
    <font>
      <b/>
      <sz val="18"/>
      <color rgb="FF92D050"/>
      <name val="Tahoma"/>
      <family val="2"/>
      <charset val="238"/>
    </font>
    <font>
      <sz val="18"/>
      <color rgb="FF00B0F0"/>
      <name val="Webdings"/>
      <family val="1"/>
      <charset val="2"/>
    </font>
    <font>
      <sz val="22"/>
      <color rgb="FFFF0000"/>
      <name val="Wingdings 2"/>
      <family val="1"/>
      <charset val="2"/>
    </font>
    <font>
      <b/>
      <sz val="8"/>
      <color theme="5" tint="-0.49998474074526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8"/>
      <color theme="9" tint="-0.499984740745262"/>
      <name val="Tahoma"/>
      <family val="2"/>
      <charset val="238"/>
    </font>
    <font>
      <sz val="8"/>
      <color theme="0" tint="-0.34998626667073579"/>
      <name val="Tahoma"/>
      <family val="2"/>
      <charset val="238"/>
    </font>
    <font>
      <sz val="8"/>
      <color theme="9" tint="-0.249977111117893"/>
      <name val="Tahoma"/>
      <family val="2"/>
      <charset val="238"/>
    </font>
    <font>
      <sz val="8"/>
      <color theme="5" tint="-0.499984740745262"/>
      <name val="Tahoma"/>
      <family val="2"/>
      <charset val="238"/>
    </font>
    <font>
      <sz val="8"/>
      <color theme="9"/>
      <name val="Tahoma"/>
      <family val="2"/>
      <charset val="238"/>
    </font>
    <font>
      <b/>
      <sz val="10"/>
      <color rgb="FF00B0F0"/>
      <name val="Wingdings 3"/>
      <family val="1"/>
      <charset val="2"/>
    </font>
    <font>
      <b/>
      <sz val="8"/>
      <color theme="4" tint="-0.249977111117893"/>
      <name val="Tahoma"/>
      <family val="2"/>
      <charset val="238"/>
    </font>
    <font>
      <b/>
      <sz val="8"/>
      <color theme="9" tint="0.59999389629810485"/>
      <name val="Tahoma"/>
      <family val="2"/>
      <charset val="238"/>
    </font>
    <font>
      <b/>
      <sz val="40"/>
      <color theme="9" tint="-0.249977111117893"/>
      <name val="Tahoma"/>
      <family val="2"/>
      <charset val="238"/>
    </font>
    <font>
      <b/>
      <sz val="8"/>
      <color theme="0" tint="-0.14999847407452621"/>
      <name val="Tahoma"/>
      <family val="2"/>
      <charset val="238"/>
    </font>
    <font>
      <b/>
      <sz val="8"/>
      <color theme="1" tint="0.499984740745262"/>
      <name val="Tahoma"/>
      <family val="2"/>
      <charset val="238"/>
    </font>
    <font>
      <b/>
      <sz val="8"/>
      <color theme="1" tint="0.249977111117893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7"/>
      <color theme="0"/>
      <name val="Tahoma"/>
      <family val="2"/>
      <charset val="238"/>
    </font>
    <font>
      <i/>
      <sz val="8"/>
      <color theme="5" tint="0.59999389629810485"/>
      <name val="Tahoma"/>
      <family val="2"/>
      <charset val="238"/>
    </font>
    <font>
      <b/>
      <sz val="8"/>
      <color rgb="FF000000"/>
      <name val="Calibri"/>
      <family val="2"/>
      <charset val="238"/>
    </font>
    <font>
      <sz val="8"/>
      <color theme="9" tint="0.39997558519241921"/>
      <name val="Tahoma"/>
      <family val="2"/>
      <charset val="238"/>
    </font>
    <font>
      <b/>
      <sz val="8"/>
      <color rgb="FFFF0000"/>
      <name val="Tahoma"/>
      <family val="2"/>
      <charset val="238"/>
    </font>
    <font>
      <i/>
      <sz val="8"/>
      <color theme="1"/>
      <name val="Tahoma"/>
      <family val="2"/>
      <charset val="238"/>
    </font>
    <font>
      <strike/>
      <sz val="8"/>
      <name val="Tahoma"/>
      <family val="2"/>
      <charset val="238"/>
    </font>
    <font>
      <sz val="8"/>
      <color rgb="FF000000"/>
      <name val="Tahoma"/>
      <family val="2"/>
      <charset val="238"/>
    </font>
  </fonts>
  <fills count="7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gradientFill>
        <stop position="0">
          <color theme="1" tint="0.1490218817712943"/>
        </stop>
        <stop position="1">
          <color theme="0" tint="-0.25098422193060094"/>
        </stop>
      </gradientFill>
    </fill>
    <fill>
      <gradientFill degree="180">
        <stop position="0">
          <color theme="1" tint="0.1490218817712943"/>
        </stop>
        <stop position="1">
          <color theme="0" tint="-0.25098422193060094"/>
        </stop>
      </gradientFill>
    </fill>
    <fill>
      <gradientFill>
        <stop position="0">
          <color theme="1" tint="0.1490218817712943"/>
        </stop>
        <stop position="1">
          <color rgb="FFC0C0C0"/>
        </stop>
      </gradientFill>
    </fill>
    <fill>
      <gradientFill>
        <stop position="0">
          <color theme="1" tint="0.1490218817712943"/>
        </stop>
        <stop position="1">
          <color rgb="FFB8B8B8"/>
        </stop>
      </gradientFill>
    </fill>
    <fill>
      <gradientFill>
        <stop position="0">
          <color theme="1" tint="0.1490218817712943"/>
        </stop>
        <stop position="1">
          <color theme="0" tint="-0.34900967436750391"/>
        </stop>
      </gradientFill>
    </fill>
    <fill>
      <patternFill patternType="solid">
        <fgColor theme="1" tint="0.14999847407452621"/>
        <bgColor indexed="64"/>
      </patternFill>
    </fill>
    <fill>
      <gradientFill>
        <stop position="0">
          <color theme="0" tint="-0.25098422193060094"/>
        </stop>
        <stop position="1">
          <color rgb="FFB2B2B2"/>
        </stop>
      </gradientFill>
    </fill>
    <fill>
      <gradientFill degree="180">
        <stop position="0">
          <color theme="1" tint="0.1490218817712943"/>
        </stop>
        <stop position="1">
          <color rgb="FFC0C0C0"/>
        </stop>
      </gradientFill>
    </fill>
    <fill>
      <gradientFill degree="90">
        <stop position="0">
          <color rgb="FFC0C0C0"/>
        </stop>
        <stop position="0.5">
          <color rgb="FFA6A6A6"/>
        </stop>
        <stop position="1">
          <color rgb="FFC0C0C0"/>
        </stop>
      </gradientFill>
    </fill>
    <fill>
      <gradientFill degree="90">
        <stop position="0">
          <color theme="0" tint="-0.25098422193060094"/>
        </stop>
        <stop position="0.5">
          <color rgb="FFB2B2B2"/>
        </stop>
        <stop position="1">
          <color theme="0" tint="-0.25098422193060094"/>
        </stop>
      </gradientFill>
    </fill>
    <fill>
      <gradientFill degree="180">
        <stop position="0">
          <color theme="1" tint="0.1490218817712943"/>
        </stop>
        <stop position="1">
          <color rgb="FFB8B8B8"/>
        </stop>
      </gradientFill>
    </fill>
    <fill>
      <patternFill patternType="solid">
        <fgColor theme="0" tint="-0.249977111117893"/>
        <bgColor auto="1"/>
      </patternFill>
    </fill>
    <fill>
      <patternFill patternType="solid">
        <fgColor rgb="FFB8B8B8"/>
        <bgColor indexed="64"/>
      </patternFill>
    </fill>
    <fill>
      <patternFill patternType="solid">
        <fgColor theme="0" tint="-0.34998626667073579"/>
        <bgColor indexed="64"/>
      </patternFill>
    </fill>
    <fill>
      <gradientFill>
        <stop position="0">
          <color rgb="FFC0C0C0"/>
        </stop>
        <stop position="1">
          <color rgb="FFB2B2B2"/>
        </stop>
      </gradientFill>
    </fill>
    <fill>
      <gradientFill degree="180">
        <stop position="0">
          <color theme="1" tint="0.1490218817712943"/>
        </stop>
        <stop position="1">
          <color theme="0" tint="-0.34900967436750391"/>
        </stop>
      </gradientFill>
    </fill>
    <fill>
      <gradientFill>
        <stop position="0">
          <color theme="0" tint="-0.34900967436750391"/>
        </stop>
        <stop position="1">
          <color rgb="FF9E9E9E"/>
        </stop>
      </gradientFill>
    </fill>
    <fill>
      <patternFill patternType="solid">
        <fgColor theme="0" tint="-0.34998626667073579"/>
        <bgColor auto="1"/>
      </patternFill>
    </fill>
    <fill>
      <gradientFill degree="45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CCCCCC"/>
        <bgColor indexed="64"/>
      </patternFill>
    </fill>
    <fill>
      <gradientFill degree="90">
        <stop position="0">
          <color theme="0" tint="-0.1490218817712943"/>
        </stop>
        <stop position="1">
          <color theme="0" tint="-0.25098422193060094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0" tint="-0.25098422193060094"/>
        </stop>
        <stop position="1">
          <color theme="0" tint="-0.34900967436750391"/>
        </stop>
      </gradientFill>
    </fill>
    <fill>
      <gradientFill degree="90">
        <stop position="0">
          <color theme="1" tint="5.0965910824915313E-2"/>
        </stop>
        <stop position="0.5">
          <color theme="1" tint="0.25098422193060094"/>
        </stop>
        <stop position="1">
          <color theme="1" tint="5.0965910824915313E-2"/>
        </stop>
      </gradientFill>
    </fill>
    <fill>
      <gradientFill degree="225">
        <stop position="0">
          <color theme="0" tint="-0.1490218817712943"/>
        </stop>
        <stop position="1">
          <color theme="0"/>
        </stop>
      </gradientFill>
    </fill>
    <fill>
      <patternFill patternType="solid">
        <fgColor theme="1" tint="0.499984740745262"/>
        <bgColor auto="1"/>
      </patternFill>
    </fill>
    <fill>
      <gradientFill degree="180">
        <stop position="0">
          <color theme="1" tint="0.1490218817712943"/>
        </stop>
        <stop position="1">
          <color theme="1" tint="0.49803155613879818"/>
        </stop>
      </gradientFill>
    </fill>
    <fill>
      <gradientFill>
        <stop position="0">
          <color theme="1" tint="0.1490218817712943"/>
        </stop>
        <stop position="1">
          <color theme="1" tint="0.49803155613879818"/>
        </stop>
      </gradientFill>
    </fill>
    <fill>
      <gradientFill degree="180">
        <stop position="0">
          <color theme="1" tint="0.1490218817712943"/>
        </stop>
        <stop position="1">
          <color theme="0" tint="-5.0965910824915313E-2"/>
        </stop>
      </gradientFill>
    </fill>
    <fill>
      <gradientFill>
        <stop position="0">
          <color theme="1" tint="0.1490218817712943"/>
        </stop>
        <stop position="1">
          <color theme="0" tint="-5.0965910824915313E-2"/>
        </stop>
      </gradientFill>
    </fill>
    <fill>
      <gradientFill>
        <stop position="0">
          <color theme="0" tint="-0.25098422193060094"/>
        </stop>
        <stop position="1">
          <color theme="0" tint="-0.1490218817712943"/>
        </stop>
      </gradientFill>
    </fill>
    <fill>
      <gradientFill degree="90">
        <stop position="0">
          <color theme="0" tint="-0.25098422193060094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theme="1" tint="0.1490218817712943"/>
        </stop>
      </gradientFill>
    </fill>
    <fill>
      <gradientFill>
        <stop position="0">
          <color theme="0"/>
        </stop>
        <stop position="1">
          <color theme="1" tint="0.1490218817712943"/>
        </stop>
      </gradientFill>
    </fill>
    <fill>
      <gradientFill>
        <stop position="0">
          <color rgb="FFF7F7F7"/>
        </stop>
        <stop position="1">
          <color theme="1" tint="0.1490218817712943"/>
        </stop>
      </gradientFill>
    </fill>
    <fill>
      <gradientFill degree="180">
        <stop position="0">
          <color rgb="FFF7F7F7"/>
        </stop>
        <stop position="1">
          <color rgb="FF262626"/>
        </stop>
      </gradientFill>
    </fill>
    <fill>
      <gradientFill>
        <stop position="0">
          <color theme="0" tint="-5.0965910824915313E-2"/>
        </stop>
        <stop position="1">
          <color theme="0" tint="-0.1490218817712943"/>
        </stop>
      </gradientFill>
    </fill>
    <fill>
      <gradientFill>
        <stop position="0">
          <color rgb="FFE9E9E9"/>
        </stop>
        <stop position="1">
          <color rgb="FFD1D1D1"/>
        </stop>
      </gradientFill>
    </fill>
    <fill>
      <gradientFill>
        <stop position="0">
          <color theme="0"/>
        </stop>
        <stop position="1">
          <color theme="0" tint="-5.0965910824915313E-2"/>
        </stop>
      </gradientFill>
    </fill>
    <fill>
      <gradientFill>
        <stop position="0">
          <color rgb="FFF7F7F7"/>
        </stop>
        <stop position="1">
          <color rgb="FFE9E9E9"/>
        </stop>
      </gradientFill>
    </fill>
    <fill>
      <patternFill patternType="solid">
        <fgColor theme="0"/>
        <bgColor auto="1"/>
      </patternFill>
    </fill>
    <fill>
      <gradientFill degree="90">
        <stop position="0">
          <color theme="0" tint="-5.0965910824915313E-2"/>
        </stop>
        <stop position="1">
          <color theme="0" tint="-0.34900967436750391"/>
        </stop>
      </gradientFill>
    </fill>
    <fill>
      <gradientFill degree="90">
        <stop position="0">
          <color theme="0" tint="-0.1490218817712943"/>
        </stop>
        <stop position="1">
          <color theme="0" tint="-0.1490218817712943"/>
        </stop>
      </gradientFill>
    </fill>
    <fill>
      <gradientFill>
        <stop position="0">
          <color theme="0" tint="-0.25098422193060094"/>
        </stop>
        <stop position="1">
          <color rgb="FFB8B8B8"/>
        </stop>
      </gradientFill>
    </fill>
    <fill>
      <patternFill patternType="solid">
        <fgColor rgb="FFC8C8C8"/>
        <bgColor indexed="64"/>
      </patternFill>
    </fill>
    <fill>
      <patternFill patternType="solid">
        <fgColor rgb="FFB72033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rgb="FFB72033"/>
        </stop>
        <stop position="1">
          <color theme="1" tint="0.1490218817712943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auto="1"/>
      </patternFill>
    </fill>
    <fill>
      <gradientFill degree="180">
        <stop position="0">
          <color rgb="FFC00000"/>
        </stop>
        <stop position="1">
          <color rgb="FF2E2E2E"/>
        </stop>
      </gradientFill>
    </fill>
    <fill>
      <gradientFill>
        <stop position="0">
          <color rgb="FFC00000"/>
        </stop>
        <stop position="1">
          <color rgb="FF2E2E2E"/>
        </stop>
      </gradientFill>
    </fill>
    <fill>
      <gradientFill>
        <stop position="0">
          <color rgb="FFC00000"/>
        </stop>
        <stop position="0.5">
          <color rgb="FFFF0000"/>
        </stop>
        <stop position="1">
          <color rgb="FFC00000"/>
        </stop>
      </gradient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5" tint="0.80001220740379042"/>
        </stop>
        <stop position="1">
          <color theme="5" tint="0.40000610370189521"/>
        </stop>
      </gradientFill>
    </fill>
    <fill>
      <patternFill patternType="solid">
        <fgColor theme="0" tint="-0.24994659260841701"/>
        <bgColor auto="1"/>
      </patternFill>
    </fill>
    <fill>
      <gradientFill degree="45">
        <stop position="0">
          <color theme="0" tint="-0.1490218817712943"/>
        </stop>
        <stop position="1">
          <color theme="0" tint="-0.25098422193060094"/>
        </stop>
      </gradientFill>
    </fill>
    <fill>
      <patternFill patternType="solid">
        <fgColor rgb="FF333333"/>
        <bgColor indexed="64"/>
      </patternFill>
    </fill>
    <fill>
      <patternFill patternType="solid">
        <fgColor rgb="FFCC2C00"/>
        <bgColor indexed="64"/>
      </patternFill>
    </fill>
    <fill>
      <patternFill patternType="solid">
        <fgColor theme="0" tint="-0.499984740745262"/>
        <bgColor indexed="64"/>
      </patternFill>
    </fill>
    <fill>
      <gradientFill degree="90">
        <stop position="0">
          <color theme="0" tint="-0.49803155613879818"/>
        </stop>
        <stop position="1">
          <color theme="1" tint="0.1490218817712943"/>
        </stop>
      </gradientFill>
    </fill>
    <fill>
      <patternFill patternType="solid">
        <fgColor rgb="FF595959"/>
        <bgColor indexed="64"/>
      </patternFill>
    </fill>
    <fill>
      <gradientFill degree="90">
        <stop position="0">
          <color rgb="FF595959"/>
        </stop>
        <stop position="1">
          <color theme="1" tint="0.1490218817712943"/>
        </stop>
      </gradientFill>
    </fill>
    <fill>
      <gradientFill degree="180">
        <stop position="0">
          <color theme="0" tint="-0.25098422193060094"/>
        </stop>
        <stop position="1">
          <color theme="1" tint="0.1490218817712943"/>
        </stop>
      </gradientFill>
    </fill>
    <fill>
      <gradientFill>
        <stop position="0">
          <color theme="0" tint="-0.25098422193060094"/>
        </stop>
        <stop position="1">
          <color theme="1" tint="0.1490218817712943"/>
        </stop>
      </gradientFill>
    </fill>
  </fills>
  <borders count="1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4.9989318521683403E-2"/>
      </bottom>
      <diagonal/>
    </border>
    <border>
      <left/>
      <right/>
      <top style="thin">
        <color theme="1" tint="0.49998474074526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4.9989318521683403E-2"/>
      </bottom>
      <diagonal/>
    </border>
    <border>
      <left/>
      <right/>
      <top style="thin">
        <color theme="0" tint="-0.499984740745262"/>
      </top>
      <bottom style="thin">
        <color theme="0" tint="-4.9989318521683403E-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thin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 tint="-0.34998626667073579"/>
      </left>
      <right style="thin">
        <color rgb="FFD0D0D0"/>
      </right>
      <top/>
      <bottom/>
      <diagonal/>
    </border>
    <border>
      <left/>
      <right/>
      <top style="thin">
        <color theme="0" tint="-0.34998626667073579"/>
      </top>
      <bottom style="thin">
        <color rgb="FFD0D0D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theme="1" tint="0.14993743705557422"/>
      </left>
      <right/>
      <top style="thin">
        <color theme="1" tint="0.14996795556505021"/>
      </top>
      <bottom/>
      <diagonal/>
    </border>
    <border>
      <left/>
      <right style="thin">
        <color theme="0" tint="-0.24994659260841701"/>
      </right>
      <top style="thin">
        <color theme="1" tint="0.14996795556505021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1" tint="0.149937437055574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/>
    <xf numFmtId="0" fontId="2" fillId="0" borderId="0"/>
    <xf numFmtId="9" fontId="55" fillId="0" borderId="0" applyFont="0" applyFill="0" applyBorder="0" applyAlignment="0" applyProtection="0"/>
    <xf numFmtId="0" fontId="2" fillId="0" borderId="0"/>
    <xf numFmtId="43" fontId="55" fillId="0" borderId="0" applyFont="0" applyFill="0" applyBorder="0" applyAlignment="0" applyProtection="0"/>
  </cellStyleXfs>
  <cellXfs count="699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167" fontId="0" fillId="3" borderId="0" xfId="0" applyNumberForma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164" fontId="0" fillId="3" borderId="0" xfId="0" applyNumberFormat="1" applyFill="1" applyAlignment="1" applyProtection="1">
      <alignment vertical="center"/>
      <protection hidden="1"/>
    </xf>
    <xf numFmtId="168" fontId="0" fillId="3" borderId="0" xfId="0" applyNumberForma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2" fillId="3" borderId="11" xfId="0" applyFont="1" applyFill="1" applyBorder="1" applyAlignment="1" applyProtection="1">
      <alignment horizontal="left" vertical="center" indent="1"/>
      <protection hidden="1"/>
    </xf>
    <xf numFmtId="168" fontId="0" fillId="4" borderId="13" xfId="0" applyNumberFormat="1" applyFill="1" applyBorder="1" applyAlignment="1" applyProtection="1">
      <alignment vertical="center"/>
      <protection hidden="1"/>
    </xf>
    <xf numFmtId="168" fontId="0" fillId="4" borderId="8" xfId="0" applyNumberFormat="1" applyFill="1" applyBorder="1" applyAlignment="1" applyProtection="1">
      <alignment vertical="center"/>
      <protection hidden="1"/>
    </xf>
    <xf numFmtId="168" fontId="0" fillId="4" borderId="15" xfId="0" applyNumberFormat="1" applyFill="1" applyBorder="1" applyAlignment="1" applyProtection="1">
      <alignment vertical="center"/>
      <protection hidden="1"/>
    </xf>
    <xf numFmtId="168" fontId="0" fillId="4" borderId="7" xfId="0" applyNumberFormat="1" applyFill="1" applyBorder="1" applyAlignment="1" applyProtection="1">
      <alignment vertical="center"/>
      <protection hidden="1"/>
    </xf>
    <xf numFmtId="168" fontId="0" fillId="4" borderId="12" xfId="0" applyNumberFormat="1" applyFill="1" applyBorder="1" applyAlignment="1" applyProtection="1">
      <alignment vertical="center"/>
      <protection hidden="1"/>
    </xf>
    <xf numFmtId="168" fontId="0" fillId="4" borderId="6" xfId="0" applyNumberFormat="1" applyFill="1" applyBorder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4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top"/>
      <protection hidden="1"/>
    </xf>
    <xf numFmtId="168" fontId="0" fillId="4" borderId="24" xfId="0" applyNumberFormat="1" applyFill="1" applyBorder="1" applyAlignment="1" applyProtection="1">
      <alignment vertical="center"/>
      <protection hidden="1"/>
    </xf>
    <xf numFmtId="168" fontId="0" fillId="4" borderId="25" xfId="0" applyNumberFormat="1" applyFill="1" applyBorder="1" applyAlignment="1" applyProtection="1">
      <alignment vertical="center"/>
      <protection hidden="1"/>
    </xf>
    <xf numFmtId="168" fontId="0" fillId="4" borderId="14" xfId="0" applyNumberFormat="1" applyFill="1" applyBorder="1" applyAlignment="1" applyProtection="1">
      <alignment vertical="center"/>
      <protection hidden="1"/>
    </xf>
    <xf numFmtId="167" fontId="16" fillId="3" borderId="0" xfId="0" applyNumberFormat="1" applyFont="1" applyFill="1" applyAlignment="1" applyProtection="1">
      <alignment vertical="center"/>
      <protection hidden="1"/>
    </xf>
    <xf numFmtId="173" fontId="15" fillId="3" borderId="0" xfId="0" applyNumberFormat="1" applyFont="1" applyFill="1" applyAlignment="1" applyProtection="1">
      <alignment horizontal="right" vertical="center"/>
      <protection hidden="1"/>
    </xf>
    <xf numFmtId="167" fontId="0" fillId="3" borderId="0" xfId="0" applyNumberFormat="1" applyFill="1" applyAlignment="1" applyProtection="1">
      <alignment horizontal="right" vertical="center"/>
      <protection hidden="1"/>
    </xf>
    <xf numFmtId="167" fontId="12" fillId="3" borderId="0" xfId="0" applyNumberFormat="1" applyFont="1" applyFill="1" applyAlignment="1" applyProtection="1">
      <alignment vertical="center"/>
      <protection hidden="1"/>
    </xf>
    <xf numFmtId="14" fontId="12" fillId="3" borderId="0" xfId="0" applyNumberFormat="1" applyFont="1" applyFill="1" applyAlignment="1" applyProtection="1">
      <alignment vertical="center"/>
      <protection hidden="1"/>
    </xf>
    <xf numFmtId="14" fontId="12" fillId="3" borderId="0" xfId="0" applyNumberFormat="1" applyFont="1" applyFill="1" applyAlignment="1" applyProtection="1">
      <alignment horizontal="left" vertical="center"/>
      <protection hidden="1"/>
    </xf>
    <xf numFmtId="173" fontId="15" fillId="3" borderId="0" xfId="0" applyNumberFormat="1" applyFont="1" applyFill="1" applyAlignment="1" applyProtection="1">
      <alignment vertical="center"/>
      <protection hidden="1"/>
    </xf>
    <xf numFmtId="167" fontId="12" fillId="3" borderId="0" xfId="0" applyNumberFormat="1" applyFont="1" applyFill="1" applyAlignment="1" applyProtection="1">
      <alignment horizontal="left" vertical="center"/>
      <protection hidden="1"/>
    </xf>
    <xf numFmtId="167" fontId="12" fillId="3" borderId="0" xfId="0" applyNumberFormat="1" applyFont="1" applyFill="1" applyAlignment="1" applyProtection="1">
      <alignment horizontal="right" vertical="center"/>
      <protection hidden="1"/>
    </xf>
    <xf numFmtId="0" fontId="11" fillId="3" borderId="11" xfId="0" applyFont="1" applyFill="1" applyBorder="1" applyAlignment="1" applyProtection="1">
      <alignment horizontal="left" vertical="center" indent="1"/>
      <protection hidden="1"/>
    </xf>
    <xf numFmtId="0" fontId="12" fillId="3" borderId="0" xfId="0" applyFont="1" applyFill="1" applyAlignment="1" applyProtection="1">
      <alignment horizontal="left" vertical="center" indent="1"/>
      <protection hidden="1"/>
    </xf>
    <xf numFmtId="0" fontId="18" fillId="3" borderId="0" xfId="0" applyFont="1" applyFill="1" applyAlignment="1" applyProtection="1">
      <alignment vertical="center"/>
      <protection hidden="1"/>
    </xf>
    <xf numFmtId="173" fontId="24" fillId="3" borderId="0" xfId="0" applyNumberFormat="1" applyFont="1" applyFill="1" applyAlignment="1" applyProtection="1">
      <alignment vertical="center"/>
      <protection hidden="1"/>
    </xf>
    <xf numFmtId="167" fontId="23" fillId="3" borderId="0" xfId="0" applyNumberFormat="1" applyFont="1" applyFill="1" applyAlignment="1" applyProtection="1">
      <alignment vertical="center"/>
      <protection hidden="1"/>
    </xf>
    <xf numFmtId="170" fontId="12" fillId="3" borderId="0" xfId="0" applyNumberFormat="1" applyFont="1" applyFill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horizontal="left" vertical="center" indent="1"/>
      <protection hidden="1"/>
    </xf>
    <xf numFmtId="0" fontId="0" fillId="5" borderId="8" xfId="0" applyFill="1" applyBorder="1" applyAlignment="1" applyProtection="1">
      <alignment horizontal="left" vertical="center" indent="1"/>
      <protection hidden="1"/>
    </xf>
    <xf numFmtId="167" fontId="0" fillId="5" borderId="8" xfId="0" applyNumberFormat="1" applyFill="1" applyBorder="1" applyAlignment="1" applyProtection="1">
      <alignment vertical="center"/>
      <protection hidden="1"/>
    </xf>
    <xf numFmtId="167" fontId="0" fillId="5" borderId="22" xfId="0" applyNumberFormat="1" applyFill="1" applyBorder="1" applyAlignment="1" applyProtection="1">
      <alignment vertical="center"/>
      <protection hidden="1"/>
    </xf>
    <xf numFmtId="0" fontId="0" fillId="6" borderId="8" xfId="0" applyFill="1" applyBorder="1" applyAlignment="1" applyProtection="1">
      <alignment horizontal="left" vertical="center" indent="1"/>
      <protection hidden="1"/>
    </xf>
    <xf numFmtId="164" fontId="0" fillId="6" borderId="8" xfId="0" applyNumberFormat="1" applyFill="1" applyBorder="1" applyAlignment="1" applyProtection="1">
      <alignment vertical="center"/>
      <protection hidden="1"/>
    </xf>
    <xf numFmtId="166" fontId="0" fillId="6" borderId="8" xfId="0" applyNumberFormat="1" applyFill="1" applyBorder="1" applyAlignment="1" applyProtection="1">
      <alignment vertical="center"/>
      <protection hidden="1"/>
    </xf>
    <xf numFmtId="171" fontId="0" fillId="6" borderId="8" xfId="0" applyNumberFormat="1" applyFill="1" applyBorder="1" applyAlignment="1" applyProtection="1">
      <alignment vertical="center"/>
      <protection hidden="1"/>
    </xf>
    <xf numFmtId="0" fontId="0" fillId="6" borderId="22" xfId="0" applyFill="1" applyBorder="1" applyAlignment="1" applyProtection="1">
      <alignment horizontal="left" vertical="center" indent="1"/>
      <protection hidden="1"/>
    </xf>
    <xf numFmtId="0" fontId="0" fillId="6" borderId="26" xfId="0" applyFill="1" applyBorder="1" applyAlignment="1" applyProtection="1">
      <alignment horizontal="left" vertical="center" indent="1"/>
      <protection hidden="1"/>
    </xf>
    <xf numFmtId="167" fontId="22" fillId="7" borderId="8" xfId="0" applyNumberFormat="1" applyFont="1" applyFill="1" applyBorder="1" applyAlignment="1" applyProtection="1">
      <alignment horizontal="left" vertical="center" indent="1"/>
      <protection hidden="1"/>
    </xf>
    <xf numFmtId="167" fontId="22" fillId="7" borderId="22" xfId="0" applyNumberFormat="1" applyFont="1" applyFill="1" applyBorder="1" applyAlignment="1" applyProtection="1">
      <alignment horizontal="left" vertical="center" indent="1"/>
      <protection hidden="1"/>
    </xf>
    <xf numFmtId="166" fontId="12" fillId="9" borderId="13" xfId="0" applyNumberFormat="1" applyFont="1" applyFill="1" applyBorder="1" applyAlignment="1" applyProtection="1">
      <alignment vertical="center"/>
      <protection hidden="1"/>
    </xf>
    <xf numFmtId="166" fontId="12" fillId="9" borderId="15" xfId="0" applyNumberFormat="1" applyFont="1" applyFill="1" applyBorder="1" applyAlignment="1" applyProtection="1">
      <alignment vertical="center"/>
      <protection hidden="1"/>
    </xf>
    <xf numFmtId="166" fontId="12" fillId="9" borderId="12" xfId="0" applyNumberFormat="1" applyFont="1" applyFill="1" applyBorder="1" applyAlignment="1" applyProtection="1">
      <alignment vertical="center"/>
      <protection hidden="1"/>
    </xf>
    <xf numFmtId="0" fontId="12" fillId="9" borderId="12" xfId="0" applyFont="1" applyFill="1" applyBorder="1" applyAlignment="1" applyProtection="1">
      <alignment horizontal="center" vertical="center"/>
      <protection hidden="1"/>
    </xf>
    <xf numFmtId="0" fontId="12" fillId="9" borderId="6" xfId="0" applyFont="1" applyFill="1" applyBorder="1" applyAlignment="1" applyProtection="1">
      <alignment horizontal="center" vertical="center"/>
      <protection hidden="1"/>
    </xf>
    <xf numFmtId="0" fontId="12" fillId="9" borderId="19" xfId="0" applyFont="1" applyFill="1" applyBorder="1" applyAlignment="1" applyProtection="1">
      <alignment horizontal="center" vertical="center"/>
      <protection hidden="1"/>
    </xf>
    <xf numFmtId="0" fontId="12" fillId="9" borderId="20" xfId="0" applyFont="1" applyFill="1" applyBorder="1" applyAlignment="1" applyProtection="1">
      <alignment horizontal="center" vertical="center"/>
      <protection hidden="1"/>
    </xf>
    <xf numFmtId="0" fontId="12" fillId="9" borderId="21" xfId="0" applyFont="1" applyFill="1" applyBorder="1" applyAlignment="1" applyProtection="1">
      <alignment horizontal="center" vertical="center"/>
      <protection hidden="1"/>
    </xf>
    <xf numFmtId="0" fontId="0" fillId="12" borderId="0" xfId="0" applyFill="1" applyAlignment="1" applyProtection="1">
      <alignment vertical="center"/>
      <protection hidden="1"/>
    </xf>
    <xf numFmtId="0" fontId="18" fillId="13" borderId="0" xfId="0" applyFont="1" applyFill="1" applyAlignment="1" applyProtection="1">
      <alignment vertical="center"/>
      <protection hidden="1"/>
    </xf>
    <xf numFmtId="0" fontId="0" fillId="13" borderId="0" xfId="0" applyFill="1" applyAlignment="1" applyProtection="1">
      <alignment vertical="center"/>
      <protection hidden="1"/>
    </xf>
    <xf numFmtId="0" fontId="18" fillId="14" borderId="0" xfId="0" applyFont="1" applyFill="1" applyAlignment="1" applyProtection="1">
      <alignment vertical="center"/>
      <protection hidden="1"/>
    </xf>
    <xf numFmtId="0" fontId="25" fillId="15" borderId="0" xfId="0" applyFont="1" applyFill="1" applyAlignment="1" applyProtection="1">
      <alignment vertical="center"/>
      <protection hidden="1"/>
    </xf>
    <xf numFmtId="0" fontId="18" fillId="16" borderId="0" xfId="0" applyFont="1" applyFill="1" applyAlignment="1" applyProtection="1">
      <alignment vertical="center"/>
      <protection hidden="1"/>
    </xf>
    <xf numFmtId="0" fontId="3" fillId="17" borderId="0" xfId="0" applyFont="1" applyFill="1" applyAlignment="1" applyProtection="1">
      <alignment vertical="center"/>
      <protection hidden="1"/>
    </xf>
    <xf numFmtId="167" fontId="0" fillId="10" borderId="0" xfId="0" applyNumberFormat="1" applyFill="1" applyAlignment="1" applyProtection="1">
      <alignment vertical="center"/>
      <protection hidden="1"/>
    </xf>
    <xf numFmtId="0" fontId="25" fillId="19" borderId="0" xfId="0" applyFont="1" applyFill="1" applyAlignment="1" applyProtection="1">
      <alignment vertical="center"/>
      <protection hidden="1"/>
    </xf>
    <xf numFmtId="0" fontId="0" fillId="17" borderId="0" xfId="0" applyFill="1" applyAlignment="1" applyProtection="1">
      <alignment vertical="center"/>
      <protection hidden="1"/>
    </xf>
    <xf numFmtId="167" fontId="0" fillId="21" borderId="0" xfId="0" applyNumberFormat="1" applyFill="1" applyAlignment="1" applyProtection="1">
      <alignment vertical="center"/>
      <protection hidden="1"/>
    </xf>
    <xf numFmtId="164" fontId="12" fillId="21" borderId="0" xfId="0" applyNumberFormat="1" applyFont="1" applyFill="1" applyAlignment="1" applyProtection="1">
      <alignment horizontal="left" vertical="center"/>
      <protection hidden="1"/>
    </xf>
    <xf numFmtId="173" fontId="15" fillId="21" borderId="0" xfId="0" applyNumberFormat="1" applyFont="1" applyFill="1" applyAlignment="1" applyProtection="1">
      <alignment vertical="center"/>
      <protection hidden="1"/>
    </xf>
    <xf numFmtId="14" fontId="12" fillId="21" borderId="0" xfId="0" applyNumberFormat="1" applyFont="1" applyFill="1" applyAlignment="1" applyProtection="1">
      <alignment horizontal="left" vertical="center"/>
      <protection hidden="1"/>
    </xf>
    <xf numFmtId="167" fontId="0" fillId="21" borderId="0" xfId="0" applyNumberFormat="1" applyFill="1" applyAlignment="1" applyProtection="1">
      <alignment horizontal="right" vertical="center"/>
      <protection hidden="1"/>
    </xf>
    <xf numFmtId="167" fontId="12" fillId="21" borderId="0" xfId="0" applyNumberFormat="1" applyFont="1" applyFill="1" applyAlignment="1" applyProtection="1">
      <alignment horizontal="right" vertical="center"/>
      <protection hidden="1"/>
    </xf>
    <xf numFmtId="0" fontId="25" fillId="22" borderId="0" xfId="0" applyFont="1" applyFill="1" applyAlignment="1" applyProtection="1">
      <alignment vertical="center"/>
      <protection hidden="1"/>
    </xf>
    <xf numFmtId="167" fontId="0" fillId="23" borderId="0" xfId="0" applyNumberFormat="1" applyFill="1" applyAlignment="1" applyProtection="1">
      <alignment vertical="center"/>
      <protection hidden="1"/>
    </xf>
    <xf numFmtId="167" fontId="0" fillId="17" borderId="0" xfId="0" applyNumberFormat="1" applyFill="1" applyAlignment="1" applyProtection="1">
      <alignment vertical="center"/>
      <protection hidden="1"/>
    </xf>
    <xf numFmtId="167" fontId="3" fillId="17" borderId="0" xfId="0" applyNumberFormat="1" applyFont="1" applyFill="1" applyAlignment="1" applyProtection="1">
      <alignment vertical="center"/>
      <protection hidden="1"/>
    </xf>
    <xf numFmtId="167" fontId="0" fillId="24" borderId="0" xfId="0" applyNumberFormat="1" applyFill="1" applyAlignment="1" applyProtection="1">
      <alignment vertical="center"/>
      <protection hidden="1"/>
    </xf>
    <xf numFmtId="167" fontId="0" fillId="24" borderId="0" xfId="0" applyNumberFormat="1" applyFill="1" applyAlignment="1" applyProtection="1">
      <alignment horizontal="right" vertical="center"/>
      <protection hidden="1"/>
    </xf>
    <xf numFmtId="14" fontId="12" fillId="24" borderId="0" xfId="0" applyNumberFormat="1" applyFont="1" applyFill="1" applyAlignment="1" applyProtection="1">
      <alignment horizontal="left" vertical="center"/>
      <protection hidden="1"/>
    </xf>
    <xf numFmtId="173" fontId="17" fillId="25" borderId="0" xfId="0" applyNumberFormat="1" applyFont="1" applyFill="1" applyAlignment="1" applyProtection="1">
      <alignment horizontal="right" vertical="center"/>
      <protection hidden="1"/>
    </xf>
    <xf numFmtId="167" fontId="0" fillId="25" borderId="0" xfId="0" applyNumberFormat="1" applyFill="1" applyAlignment="1" applyProtection="1">
      <alignment vertical="center"/>
      <protection hidden="1"/>
    </xf>
    <xf numFmtId="0" fontId="18" fillId="27" borderId="0" xfId="0" applyFont="1" applyFill="1" applyAlignment="1" applyProtection="1">
      <alignment horizontal="center" vertical="center"/>
      <protection hidden="1"/>
    </xf>
    <xf numFmtId="173" fontId="15" fillId="25" borderId="0" xfId="0" applyNumberFormat="1" applyFont="1" applyFill="1" applyAlignment="1" applyProtection="1">
      <alignment vertical="center"/>
      <protection hidden="1"/>
    </xf>
    <xf numFmtId="167" fontId="0" fillId="29" borderId="0" xfId="0" applyNumberFormat="1" applyFill="1" applyAlignment="1" applyProtection="1">
      <alignment vertical="center"/>
      <protection hidden="1"/>
    </xf>
    <xf numFmtId="167" fontId="12" fillId="10" borderId="0" xfId="0" applyNumberFormat="1" applyFont="1" applyFill="1" applyAlignment="1" applyProtection="1">
      <alignment vertical="center"/>
      <protection hidden="1"/>
    </xf>
    <xf numFmtId="173" fontId="15" fillId="10" borderId="0" xfId="0" applyNumberFormat="1" applyFont="1" applyFill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167" fontId="23" fillId="24" borderId="0" xfId="0" applyNumberFormat="1" applyFont="1" applyFill="1" applyAlignment="1" applyProtection="1">
      <alignment vertical="center"/>
      <protection hidden="1"/>
    </xf>
    <xf numFmtId="168" fontId="0" fillId="32" borderId="14" xfId="0" applyNumberFormat="1" applyFill="1" applyBorder="1" applyAlignment="1" applyProtection="1">
      <alignment vertical="center"/>
      <protection hidden="1"/>
    </xf>
    <xf numFmtId="168" fontId="0" fillId="32" borderId="16" xfId="0" applyNumberFormat="1" applyFill="1" applyBorder="1" applyAlignment="1" applyProtection="1">
      <alignment vertical="center"/>
      <protection hidden="1"/>
    </xf>
    <xf numFmtId="168" fontId="0" fillId="32" borderId="17" xfId="0" applyNumberFormat="1" applyFill="1" applyBorder="1" applyAlignment="1" applyProtection="1">
      <alignment vertical="center"/>
      <protection hidden="1"/>
    </xf>
    <xf numFmtId="168" fontId="0" fillId="32" borderId="15" xfId="0" applyNumberFormat="1" applyFill="1" applyBorder="1" applyAlignment="1" applyProtection="1">
      <alignment vertical="center"/>
      <protection hidden="1"/>
    </xf>
    <xf numFmtId="168" fontId="0" fillId="32" borderId="13" xfId="0" applyNumberFormat="1" applyFill="1" applyBorder="1" applyAlignment="1" applyProtection="1">
      <alignment vertical="center"/>
      <protection hidden="1"/>
    </xf>
    <xf numFmtId="168" fontId="0" fillId="32" borderId="12" xfId="0" applyNumberFormat="1" applyFill="1" applyBorder="1" applyAlignment="1" applyProtection="1">
      <alignment vertical="center"/>
      <protection hidden="1"/>
    </xf>
    <xf numFmtId="168" fontId="0" fillId="32" borderId="8" xfId="0" applyNumberFormat="1" applyFill="1" applyBorder="1" applyAlignment="1" applyProtection="1">
      <alignment vertical="center"/>
      <protection hidden="1"/>
    </xf>
    <xf numFmtId="168" fontId="0" fillId="32" borderId="22" xfId="0" applyNumberFormat="1" applyFill="1" applyBorder="1" applyAlignment="1" applyProtection="1">
      <alignment vertical="center"/>
      <protection hidden="1"/>
    </xf>
    <xf numFmtId="168" fontId="0" fillId="32" borderId="23" xfId="0" applyNumberFormat="1" applyFill="1" applyBorder="1" applyAlignment="1" applyProtection="1">
      <alignment vertical="center"/>
      <protection hidden="1"/>
    </xf>
    <xf numFmtId="168" fontId="0" fillId="32" borderId="26" xfId="0" applyNumberFormat="1" applyFill="1" applyBorder="1" applyAlignment="1" applyProtection="1">
      <alignment vertical="center"/>
      <protection hidden="1"/>
    </xf>
    <xf numFmtId="168" fontId="0" fillId="32" borderId="27" xfId="0" applyNumberFormat="1" applyFill="1" applyBorder="1" applyAlignment="1" applyProtection="1">
      <alignment vertical="center"/>
      <protection hidden="1"/>
    </xf>
    <xf numFmtId="167" fontId="0" fillId="33" borderId="51" xfId="0" applyNumberFormat="1" applyFill="1" applyBorder="1" applyAlignment="1" applyProtection="1">
      <alignment vertical="center"/>
      <protection hidden="1"/>
    </xf>
    <xf numFmtId="0" fontId="0" fillId="33" borderId="50" xfId="0" applyFill="1" applyBorder="1" applyAlignment="1" applyProtection="1">
      <alignment vertical="center"/>
      <protection hidden="1"/>
    </xf>
    <xf numFmtId="167" fontId="0" fillId="33" borderId="50" xfId="0" applyNumberFormat="1" applyFill="1" applyBorder="1" applyAlignment="1" applyProtection="1">
      <alignment vertical="center"/>
      <protection hidden="1"/>
    </xf>
    <xf numFmtId="167" fontId="0" fillId="33" borderId="54" xfId="0" applyNumberFormat="1" applyFill="1" applyBorder="1" applyAlignment="1" applyProtection="1">
      <alignment vertical="center"/>
      <protection hidden="1"/>
    </xf>
    <xf numFmtId="166" fontId="0" fillId="33" borderId="54" xfId="0" applyNumberFormat="1" applyFill="1" applyBorder="1" applyAlignment="1" applyProtection="1">
      <alignment vertical="center"/>
      <protection hidden="1"/>
    </xf>
    <xf numFmtId="166" fontId="0" fillId="33" borderId="51" xfId="0" applyNumberFormat="1" applyFill="1" applyBorder="1" applyAlignment="1" applyProtection="1">
      <alignment vertical="center"/>
      <protection hidden="1"/>
    </xf>
    <xf numFmtId="0" fontId="0" fillId="33" borderId="55" xfId="0" applyFill="1" applyBorder="1" applyAlignment="1" applyProtection="1">
      <alignment vertical="center"/>
      <protection hidden="1"/>
    </xf>
    <xf numFmtId="0" fontId="0" fillId="33" borderId="54" xfId="0" applyFill="1" applyBorder="1" applyAlignment="1" applyProtection="1">
      <alignment vertical="center"/>
      <protection hidden="1"/>
    </xf>
    <xf numFmtId="0" fontId="0" fillId="33" borderId="51" xfId="0" applyFill="1" applyBorder="1" applyAlignment="1" applyProtection="1">
      <alignment vertical="center"/>
      <protection hidden="1"/>
    </xf>
    <xf numFmtId="166" fontId="0" fillId="33" borderId="50" xfId="0" applyNumberFormat="1" applyFill="1" applyBorder="1" applyAlignment="1" applyProtection="1">
      <alignment vertical="center"/>
      <protection hidden="1"/>
    </xf>
    <xf numFmtId="166" fontId="15" fillId="33" borderId="51" xfId="0" applyNumberFormat="1" applyFont="1" applyFill="1" applyBorder="1" applyAlignment="1" applyProtection="1">
      <alignment vertical="center"/>
      <protection hidden="1"/>
    </xf>
    <xf numFmtId="168" fontId="0" fillId="33" borderId="50" xfId="0" applyNumberFormat="1" applyFill="1" applyBorder="1" applyAlignment="1" applyProtection="1">
      <alignment vertical="center"/>
      <protection hidden="1"/>
    </xf>
    <xf numFmtId="3" fontId="0" fillId="34" borderId="54" xfId="0" applyNumberFormat="1" applyFill="1" applyBorder="1" applyAlignment="1" applyProtection="1">
      <alignment vertical="center"/>
      <protection hidden="1"/>
    </xf>
    <xf numFmtId="0" fontId="0" fillId="10" borderId="0" xfId="0" quotePrefix="1" applyFill="1" applyAlignment="1" applyProtection="1">
      <alignment horizontal="right" vertical="center"/>
      <protection hidden="1"/>
    </xf>
    <xf numFmtId="0" fontId="0" fillId="10" borderId="18" xfId="0" applyFill="1" applyBorder="1" applyAlignment="1" applyProtection="1">
      <alignment horizontal="left" vertical="center" indent="1"/>
      <protection hidden="1"/>
    </xf>
    <xf numFmtId="0" fontId="0" fillId="10" borderId="18" xfId="0" applyFill="1" applyBorder="1" applyAlignment="1" applyProtection="1">
      <alignment vertical="center"/>
      <protection hidden="1"/>
    </xf>
    <xf numFmtId="0" fontId="31" fillId="9" borderId="68" xfId="0" applyFont="1" applyFill="1" applyBorder="1" applyAlignment="1" applyProtection="1">
      <alignment horizontal="center" vertical="center"/>
      <protection hidden="1"/>
    </xf>
    <xf numFmtId="0" fontId="31" fillId="9" borderId="76" xfId="0" applyFont="1" applyFill="1" applyBorder="1" applyAlignment="1" applyProtection="1">
      <alignment horizontal="center" vertical="top"/>
      <protection hidden="1"/>
    </xf>
    <xf numFmtId="0" fontId="31" fillId="9" borderId="76" xfId="0" applyFont="1" applyFill="1" applyBorder="1" applyAlignment="1" applyProtection="1">
      <alignment horizontal="left" vertical="top" indent="1"/>
      <protection hidden="1"/>
    </xf>
    <xf numFmtId="167" fontId="0" fillId="5" borderId="77" xfId="0" applyNumberFormat="1" applyFill="1" applyBorder="1" applyAlignment="1" applyProtection="1">
      <alignment vertical="center"/>
      <protection hidden="1"/>
    </xf>
    <xf numFmtId="167" fontId="0" fillId="5" borderId="78" xfId="0" applyNumberFormat="1" applyFill="1" applyBorder="1" applyAlignment="1" applyProtection="1">
      <alignment vertical="center"/>
      <protection hidden="1"/>
    </xf>
    <xf numFmtId="0" fontId="0" fillId="6" borderId="79" xfId="0" applyFill="1" applyBorder="1" applyAlignment="1" applyProtection="1">
      <alignment horizontal="left" vertical="center"/>
      <protection hidden="1"/>
    </xf>
    <xf numFmtId="167" fontId="0" fillId="5" borderId="80" xfId="0" applyNumberFormat="1" applyFill="1" applyBorder="1" applyAlignment="1" applyProtection="1">
      <alignment vertical="center"/>
      <protection hidden="1"/>
    </xf>
    <xf numFmtId="167" fontId="0" fillId="5" borderId="81" xfId="0" applyNumberFormat="1" applyFill="1" applyBorder="1" applyAlignment="1" applyProtection="1">
      <alignment vertical="center"/>
      <protection hidden="1"/>
    </xf>
    <xf numFmtId="0" fontId="0" fillId="6" borderId="82" xfId="0" applyFill="1" applyBorder="1" applyAlignment="1" applyProtection="1">
      <alignment horizontal="left" vertical="center"/>
      <protection hidden="1"/>
    </xf>
    <xf numFmtId="167" fontId="0" fillId="25" borderId="80" xfId="0" applyNumberFormat="1" applyFill="1" applyBorder="1" applyAlignment="1" applyProtection="1">
      <alignment vertical="center"/>
      <protection hidden="1"/>
    </xf>
    <xf numFmtId="167" fontId="0" fillId="25" borderId="81" xfId="0" applyNumberFormat="1" applyFill="1" applyBorder="1" applyAlignment="1" applyProtection="1">
      <alignment vertical="center"/>
      <protection hidden="1"/>
    </xf>
    <xf numFmtId="0" fontId="0" fillId="8" borderId="82" xfId="0" applyFill="1" applyBorder="1" applyAlignment="1" applyProtection="1">
      <alignment horizontal="left" vertical="center"/>
      <protection hidden="1"/>
    </xf>
    <xf numFmtId="167" fontId="0" fillId="5" borderId="83" xfId="0" applyNumberFormat="1" applyFill="1" applyBorder="1" applyAlignment="1" applyProtection="1">
      <alignment vertical="center"/>
      <protection hidden="1"/>
    </xf>
    <xf numFmtId="167" fontId="0" fillId="5" borderId="84" xfId="0" applyNumberFormat="1" applyFill="1" applyBorder="1" applyAlignment="1" applyProtection="1">
      <alignment vertical="center"/>
      <protection hidden="1"/>
    </xf>
    <xf numFmtId="0" fontId="0" fillId="6" borderId="85" xfId="0" applyFill="1" applyBorder="1" applyAlignment="1" applyProtection="1">
      <alignment horizontal="left" vertical="center"/>
      <protection hidden="1"/>
    </xf>
    <xf numFmtId="167" fontId="0" fillId="32" borderId="54" xfId="0" applyNumberFormat="1" applyFill="1" applyBorder="1" applyAlignment="1" applyProtection="1">
      <alignment vertical="center"/>
      <protection hidden="1"/>
    </xf>
    <xf numFmtId="166" fontId="0" fillId="32" borderId="51" xfId="0" applyNumberFormat="1" applyFill="1" applyBorder="1" applyAlignment="1" applyProtection="1">
      <alignment vertical="center"/>
      <protection hidden="1"/>
    </xf>
    <xf numFmtId="0" fontId="25" fillId="38" borderId="0" xfId="0" applyFont="1" applyFill="1" applyAlignment="1" applyProtection="1">
      <alignment vertical="center"/>
      <protection hidden="1"/>
    </xf>
    <xf numFmtId="0" fontId="25" fillId="39" borderId="0" xfId="0" applyFont="1" applyFill="1" applyAlignment="1" applyProtection="1">
      <alignment vertical="center"/>
      <protection hidden="1"/>
    </xf>
    <xf numFmtId="167" fontId="0" fillId="33" borderId="0" xfId="0" applyNumberFormat="1" applyFill="1" applyAlignment="1" applyProtection="1">
      <alignment vertical="center"/>
      <protection hidden="1"/>
    </xf>
    <xf numFmtId="167" fontId="4" fillId="33" borderId="0" xfId="0" applyNumberFormat="1" applyFont="1" applyFill="1" applyAlignment="1" applyProtection="1">
      <alignment horizontal="left" vertical="center"/>
      <protection hidden="1"/>
    </xf>
    <xf numFmtId="167" fontId="16" fillId="33" borderId="0" xfId="0" applyNumberFormat="1" applyFont="1" applyFill="1" applyAlignment="1" applyProtection="1">
      <alignment vertical="center"/>
      <protection hidden="1"/>
    </xf>
    <xf numFmtId="0" fontId="25" fillId="40" borderId="0" xfId="0" applyFont="1" applyFill="1" applyAlignment="1" applyProtection="1">
      <alignment vertical="center"/>
      <protection hidden="1"/>
    </xf>
    <xf numFmtId="0" fontId="25" fillId="41" borderId="0" xfId="0" applyFont="1" applyFill="1" applyAlignment="1" applyProtection="1">
      <alignment vertical="center"/>
      <protection hidden="1"/>
    </xf>
    <xf numFmtId="0" fontId="0" fillId="24" borderId="88" xfId="0" applyFill="1" applyBorder="1" applyAlignment="1" applyProtection="1">
      <alignment horizontal="center" vertical="center"/>
      <protection hidden="1"/>
    </xf>
    <xf numFmtId="0" fontId="0" fillId="10" borderId="89" xfId="0" applyFill="1" applyBorder="1" applyAlignment="1" applyProtection="1">
      <alignment vertical="center"/>
      <protection hidden="1"/>
    </xf>
    <xf numFmtId="0" fontId="0" fillId="10" borderId="89" xfId="0" applyFill="1" applyBorder="1" applyAlignment="1" applyProtection="1">
      <alignment horizontal="right" vertical="center"/>
      <protection hidden="1"/>
    </xf>
    <xf numFmtId="0" fontId="0" fillId="42" borderId="0" xfId="0" applyFill="1" applyAlignment="1" applyProtection="1">
      <alignment vertical="center"/>
      <protection hidden="1"/>
    </xf>
    <xf numFmtId="0" fontId="0" fillId="43" borderId="0" xfId="0" applyFill="1" applyAlignment="1" applyProtection="1">
      <alignment horizontal="center" vertical="center"/>
      <protection hidden="1"/>
    </xf>
    <xf numFmtId="0" fontId="0" fillId="43" borderId="0" xfId="0" applyFill="1" applyAlignment="1" applyProtection="1">
      <alignment vertical="center"/>
      <protection hidden="1"/>
    </xf>
    <xf numFmtId="0" fontId="0" fillId="43" borderId="0" xfId="0" applyFill="1" applyAlignment="1" applyProtection="1">
      <alignment horizontal="right" vertical="center"/>
      <protection hidden="1"/>
    </xf>
    <xf numFmtId="0" fontId="0" fillId="44" borderId="0" xfId="0" applyFill="1" applyAlignment="1" applyProtection="1">
      <alignment horizontal="left" vertical="center" wrapText="1" indent="1"/>
      <protection hidden="1"/>
    </xf>
    <xf numFmtId="0" fontId="0" fillId="45" borderId="0" xfId="0" applyFill="1" applyAlignment="1" applyProtection="1">
      <alignment horizontal="left" vertical="center" wrapText="1" indent="1"/>
      <protection hidden="1"/>
    </xf>
    <xf numFmtId="0" fontId="0" fillId="46" borderId="0" xfId="0" applyFill="1" applyAlignment="1" applyProtection="1">
      <alignment horizontal="left" vertical="center" wrapText="1" indent="1"/>
      <protection hidden="1"/>
    </xf>
    <xf numFmtId="0" fontId="0" fillId="47" borderId="0" xfId="0" applyFill="1" applyAlignment="1" applyProtection="1">
      <alignment horizontal="left" vertical="center" wrapText="1" indent="1"/>
      <protection hidden="1"/>
    </xf>
    <xf numFmtId="0" fontId="35" fillId="48" borderId="0" xfId="0" applyFont="1" applyFill="1" applyAlignment="1" applyProtection="1">
      <alignment horizontal="center" vertical="center"/>
      <protection hidden="1"/>
    </xf>
    <xf numFmtId="0" fontId="0" fillId="48" borderId="0" xfId="0" applyFill="1" applyAlignment="1" applyProtection="1">
      <alignment horizontal="left" vertical="center" wrapText="1" indent="1"/>
      <protection hidden="1"/>
    </xf>
    <xf numFmtId="0" fontId="36" fillId="49" borderId="91" xfId="0" applyFont="1" applyFill="1" applyBorder="1" applyAlignment="1" applyProtection="1">
      <alignment horizontal="center" vertical="center" wrapText="1"/>
      <protection hidden="1"/>
    </xf>
    <xf numFmtId="0" fontId="0" fillId="49" borderId="91" xfId="0" applyFill="1" applyBorder="1" applyAlignment="1" applyProtection="1">
      <alignment horizontal="left" vertical="center" wrapText="1" indent="1"/>
      <protection hidden="1"/>
    </xf>
    <xf numFmtId="0" fontId="37" fillId="48" borderId="0" xfId="0" quotePrefix="1" applyFont="1" applyFill="1" applyAlignment="1" applyProtection="1">
      <alignment horizontal="center" vertical="center" wrapText="1"/>
      <protection hidden="1"/>
    </xf>
    <xf numFmtId="0" fontId="38" fillId="49" borderId="91" xfId="0" applyFont="1" applyFill="1" applyBorder="1" applyAlignment="1" applyProtection="1">
      <alignment horizontal="center" vertical="center" wrapText="1"/>
      <protection hidden="1"/>
    </xf>
    <xf numFmtId="0" fontId="5" fillId="48" borderId="0" xfId="0" applyFont="1" applyFill="1" applyAlignment="1" applyProtection="1">
      <alignment horizontal="left" vertical="center" wrapText="1" indent="1"/>
      <protection hidden="1"/>
    </xf>
    <xf numFmtId="0" fontId="0" fillId="6" borderId="0" xfId="0" applyFill="1" applyAlignment="1" applyProtection="1">
      <alignment horizontal="left" vertical="top" wrapText="1"/>
      <protection hidden="1"/>
    </xf>
    <xf numFmtId="0" fontId="0" fillId="51" borderId="0" xfId="0" applyFill="1" applyAlignment="1" applyProtection="1">
      <alignment vertical="center" wrapText="1"/>
      <protection hidden="1"/>
    </xf>
    <xf numFmtId="0" fontId="3" fillId="50" borderId="0" xfId="0" applyFont="1" applyFill="1" applyAlignment="1" applyProtection="1">
      <alignment vertical="center" wrapText="1"/>
      <protection hidden="1"/>
    </xf>
    <xf numFmtId="0" fontId="0" fillId="51" borderId="0" xfId="0" applyFill="1" applyAlignment="1" applyProtection="1">
      <alignment horizontal="right" vertical="center" wrapText="1"/>
      <protection hidden="1"/>
    </xf>
    <xf numFmtId="0" fontId="0" fillId="52" borderId="0" xfId="0" applyFill="1" applyAlignment="1" applyProtection="1">
      <alignment horizontal="right" vertical="top" wrapText="1"/>
      <protection hidden="1"/>
    </xf>
    <xf numFmtId="0" fontId="39" fillId="48" borderId="0" xfId="0" applyFont="1" applyFill="1" applyAlignment="1" applyProtection="1">
      <alignment horizontal="center" vertical="center" wrapText="1"/>
      <protection hidden="1"/>
    </xf>
    <xf numFmtId="0" fontId="0" fillId="42" borderId="2" xfId="0" applyFill="1" applyBorder="1" applyAlignment="1" applyProtection="1">
      <alignment vertical="center"/>
      <protection hidden="1"/>
    </xf>
    <xf numFmtId="0" fontId="0" fillId="54" borderId="4" xfId="0" applyFill="1" applyBorder="1" applyAlignment="1" applyProtection="1">
      <alignment horizontal="center" vertical="center"/>
      <protection hidden="1"/>
    </xf>
    <xf numFmtId="0" fontId="0" fillId="54" borderId="0" xfId="0" applyFill="1" applyAlignment="1" applyProtection="1">
      <alignment horizontal="center" vertical="center"/>
      <protection hidden="1"/>
    </xf>
    <xf numFmtId="167" fontId="20" fillId="7" borderId="8" xfId="0" applyNumberFormat="1" applyFont="1" applyFill="1" applyBorder="1" applyAlignment="1" applyProtection="1">
      <alignment horizontal="center" vertical="center"/>
      <protection hidden="1"/>
    </xf>
    <xf numFmtId="0" fontId="0" fillId="24" borderId="0" xfId="0" applyFill="1" applyAlignment="1" applyProtection="1">
      <alignment vertical="center"/>
      <protection hidden="1"/>
    </xf>
    <xf numFmtId="0" fontId="0" fillId="24" borderId="18" xfId="0" applyFill="1" applyBorder="1" applyAlignment="1" applyProtection="1">
      <alignment vertical="center"/>
      <protection hidden="1"/>
    </xf>
    <xf numFmtId="0" fontId="0" fillId="55" borderId="0" xfId="0" applyFill="1" applyAlignment="1" applyProtection="1">
      <alignment vertical="center"/>
      <protection hidden="1"/>
    </xf>
    <xf numFmtId="0" fontId="0" fillId="56" borderId="0" xfId="0" applyFill="1" applyAlignment="1" applyProtection="1">
      <alignment vertical="center"/>
      <protection hidden="1"/>
    </xf>
    <xf numFmtId="0" fontId="0" fillId="56" borderId="0" xfId="0" applyFill="1" applyAlignment="1" applyProtection="1">
      <alignment horizontal="right" vertical="center"/>
      <protection hidden="1"/>
    </xf>
    <xf numFmtId="0" fontId="3" fillId="56" borderId="0" xfId="0" applyFont="1" applyFill="1" applyAlignment="1" applyProtection="1">
      <alignment horizontal="right" vertical="center"/>
      <protection hidden="1"/>
    </xf>
    <xf numFmtId="0" fontId="0" fillId="56" borderId="89" xfId="0" applyFill="1" applyBorder="1" applyAlignment="1" applyProtection="1">
      <alignment vertical="center"/>
      <protection hidden="1"/>
    </xf>
    <xf numFmtId="0" fontId="0" fillId="56" borderId="0" xfId="0" applyFill="1" applyAlignment="1" applyProtection="1">
      <alignment horizontal="left" vertical="center"/>
      <protection hidden="1"/>
    </xf>
    <xf numFmtId="173" fontId="15" fillId="56" borderId="0" xfId="0" applyNumberFormat="1" applyFont="1" applyFill="1" applyAlignment="1" applyProtection="1">
      <alignment vertical="center"/>
      <protection hidden="1"/>
    </xf>
    <xf numFmtId="0" fontId="33" fillId="56" borderId="0" xfId="0" applyFont="1" applyFill="1" applyAlignment="1" applyProtection="1">
      <alignment horizontal="right" vertical="center"/>
      <protection hidden="1"/>
    </xf>
    <xf numFmtId="14" fontId="0" fillId="56" borderId="0" xfId="0" applyNumberFormat="1" applyFill="1" applyAlignment="1" applyProtection="1">
      <alignment vertical="center"/>
      <protection hidden="1"/>
    </xf>
    <xf numFmtId="0" fontId="0" fillId="57" borderId="0" xfId="0" applyFill="1" applyAlignment="1" applyProtection="1">
      <alignment vertical="center"/>
      <protection hidden="1"/>
    </xf>
    <xf numFmtId="0" fontId="23" fillId="24" borderId="0" xfId="0" applyFont="1" applyFill="1" applyAlignment="1" applyProtection="1">
      <alignment vertical="center"/>
      <protection hidden="1"/>
    </xf>
    <xf numFmtId="0" fontId="23" fillId="24" borderId="0" xfId="0" applyFont="1" applyFill="1" applyAlignment="1" applyProtection="1">
      <alignment vertical="top"/>
      <protection hidden="1"/>
    </xf>
    <xf numFmtId="0" fontId="0" fillId="57" borderId="5" xfId="0" applyFill="1" applyBorder="1" applyAlignment="1" applyProtection="1">
      <alignment vertical="center"/>
      <protection hidden="1"/>
    </xf>
    <xf numFmtId="0" fontId="29" fillId="57" borderId="0" xfId="0" applyFont="1" applyFill="1" applyAlignment="1" applyProtection="1">
      <alignment horizontal="right" vertical="center"/>
      <protection hidden="1"/>
    </xf>
    <xf numFmtId="0" fontId="0" fillId="57" borderId="0" xfId="0" applyFill="1" applyAlignment="1" applyProtection="1">
      <alignment horizontal="right" vertical="center"/>
      <protection hidden="1"/>
    </xf>
    <xf numFmtId="0" fontId="0" fillId="59" borderId="0" xfId="0" applyFill="1" applyAlignment="1" applyProtection="1">
      <alignment vertical="center"/>
      <protection hidden="1"/>
    </xf>
    <xf numFmtId="0" fontId="0" fillId="62" borderId="0" xfId="0" applyFill="1" applyAlignment="1" applyProtection="1">
      <alignment vertical="center"/>
      <protection hidden="1"/>
    </xf>
    <xf numFmtId="0" fontId="34" fillId="61" borderId="0" xfId="0" applyFont="1" applyFill="1" applyAlignment="1" applyProtection="1">
      <alignment horizontal="left" vertical="center" indent="1"/>
      <protection hidden="1"/>
    </xf>
    <xf numFmtId="0" fontId="0" fillId="63" borderId="0" xfId="0" applyFill="1" applyAlignment="1" applyProtection="1">
      <alignment vertical="center"/>
      <protection hidden="1"/>
    </xf>
    <xf numFmtId="0" fontId="0" fillId="61" borderId="0" xfId="0" applyFill="1" applyAlignment="1" applyProtection="1">
      <alignment vertical="center"/>
      <protection hidden="1"/>
    </xf>
    <xf numFmtId="0" fontId="40" fillId="64" borderId="96" xfId="0" applyFont="1" applyFill="1" applyBorder="1" applyAlignment="1" applyProtection="1">
      <alignment horizontal="center" vertical="center"/>
      <protection hidden="1"/>
    </xf>
    <xf numFmtId="0" fontId="40" fillId="64" borderId="97" xfId="0" applyFont="1" applyFill="1" applyBorder="1" applyAlignment="1" applyProtection="1">
      <alignment horizontal="center" vertical="center"/>
      <protection hidden="1"/>
    </xf>
    <xf numFmtId="167" fontId="23" fillId="57" borderId="0" xfId="0" applyNumberFormat="1" applyFont="1" applyFill="1" applyAlignment="1" applyProtection="1">
      <alignment vertical="center"/>
      <protection hidden="1"/>
    </xf>
    <xf numFmtId="0" fontId="34" fillId="57" borderId="0" xfId="0" applyFont="1" applyFill="1" applyAlignment="1" applyProtection="1">
      <alignment horizontal="left" vertical="center" indent="1"/>
      <protection hidden="1"/>
    </xf>
    <xf numFmtId="0" fontId="0" fillId="57" borderId="103" xfId="0" applyFill="1" applyBorder="1" applyAlignment="1" applyProtection="1">
      <alignment vertical="center"/>
      <protection hidden="1"/>
    </xf>
    <xf numFmtId="0" fontId="0" fillId="57" borderId="104" xfId="0" applyFill="1" applyBorder="1" applyAlignment="1" applyProtection="1">
      <alignment vertical="center"/>
      <protection hidden="1"/>
    </xf>
    <xf numFmtId="0" fontId="0" fillId="57" borderId="104" xfId="0" applyFill="1" applyBorder="1" applyAlignment="1" applyProtection="1">
      <alignment horizontal="right" vertical="center"/>
      <protection hidden="1"/>
    </xf>
    <xf numFmtId="0" fontId="22" fillId="57" borderId="0" xfId="0" applyFont="1" applyFill="1" applyAlignment="1" applyProtection="1">
      <alignment vertical="center"/>
      <protection hidden="1"/>
    </xf>
    <xf numFmtId="0" fontId="22" fillId="57" borderId="5" xfId="0" applyFont="1" applyFill="1" applyBorder="1" applyAlignment="1" applyProtection="1">
      <alignment vertical="center"/>
      <protection hidden="1"/>
    </xf>
    <xf numFmtId="0" fontId="22" fillId="57" borderId="0" xfId="0" applyFont="1" applyFill="1" applyAlignment="1" applyProtection="1">
      <alignment horizontal="right" vertical="center"/>
      <protection hidden="1"/>
    </xf>
    <xf numFmtId="173" fontId="45" fillId="57" borderId="0" xfId="0" applyNumberFormat="1" applyFont="1" applyFill="1" applyAlignment="1" applyProtection="1">
      <alignment horizontal="right" vertical="center" indent="1"/>
      <protection hidden="1"/>
    </xf>
    <xf numFmtId="167" fontId="3" fillId="60" borderId="8" xfId="0" applyNumberFormat="1" applyFont="1" applyFill="1" applyBorder="1" applyAlignment="1" applyProtection="1">
      <alignment vertical="center"/>
      <protection hidden="1"/>
    </xf>
    <xf numFmtId="167" fontId="13" fillId="10" borderId="0" xfId="0" applyNumberFormat="1" applyFont="1" applyFill="1" applyAlignment="1" applyProtection="1">
      <alignment vertical="center"/>
      <protection hidden="1"/>
    </xf>
    <xf numFmtId="167" fontId="0" fillId="3" borderId="0" xfId="0" applyNumberFormat="1" applyFill="1" applyAlignment="1" applyProtection="1">
      <alignment horizontal="left" vertical="center"/>
      <protection hidden="1"/>
    </xf>
    <xf numFmtId="167" fontId="53" fillId="33" borderId="0" xfId="0" applyNumberFormat="1" applyFont="1" applyFill="1" applyAlignment="1" applyProtection="1">
      <alignment horizontal="right" vertical="center"/>
      <protection hidden="1"/>
    </xf>
    <xf numFmtId="173" fontId="44" fillId="33" borderId="0" xfId="0" applyNumberFormat="1" applyFont="1" applyFill="1" applyAlignment="1" applyProtection="1">
      <alignment horizontal="right" vertical="center"/>
      <protection hidden="1"/>
    </xf>
    <xf numFmtId="0" fontId="0" fillId="6" borderId="28" xfId="0" applyFill="1" applyBorder="1" applyAlignment="1" applyProtection="1">
      <alignment horizontal="left" vertical="center" indent="1"/>
      <protection hidden="1"/>
    </xf>
    <xf numFmtId="0" fontId="0" fillId="6" borderId="29" xfId="0" applyFill="1" applyBorder="1" applyAlignment="1" applyProtection="1">
      <alignment horizontal="left" vertical="center" indent="1"/>
      <protection hidden="1"/>
    </xf>
    <xf numFmtId="0" fontId="20" fillId="3" borderId="0" xfId="0" applyFont="1" applyFill="1" applyAlignment="1" applyProtection="1">
      <alignment vertical="center"/>
      <protection hidden="1"/>
    </xf>
    <xf numFmtId="10" fontId="55" fillId="6" borderId="8" xfId="3" applyNumberFormat="1" applyFont="1" applyFill="1" applyBorder="1" applyAlignment="1" applyProtection="1">
      <alignment horizontal="center" vertical="center"/>
      <protection locked="0"/>
    </xf>
    <xf numFmtId="10" fontId="55" fillId="6" borderId="8" xfId="3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23" fillId="3" borderId="0" xfId="0" applyFont="1" applyFill="1" applyAlignment="1" applyProtection="1">
      <alignment vertical="center"/>
      <protection hidden="1"/>
    </xf>
    <xf numFmtId="167" fontId="22" fillId="7" borderId="20" xfId="0" applyNumberFormat="1" applyFont="1" applyFill="1" applyBorder="1" applyAlignment="1" applyProtection="1">
      <alignment horizontal="center" vertical="center"/>
      <protection hidden="1"/>
    </xf>
    <xf numFmtId="167" fontId="22" fillId="7" borderId="3" xfId="0" applyNumberFormat="1" applyFont="1" applyFill="1" applyBorder="1" applyAlignment="1" applyProtection="1">
      <alignment horizontal="center" vertical="center"/>
      <protection hidden="1"/>
    </xf>
    <xf numFmtId="167" fontId="11" fillId="10" borderId="23" xfId="0" applyNumberFormat="1" applyFont="1" applyFill="1" applyBorder="1" applyAlignment="1" applyProtection="1">
      <alignment horizontal="left" vertical="center" indent="1"/>
      <protection hidden="1"/>
    </xf>
    <xf numFmtId="167" fontId="11" fillId="10" borderId="24" xfId="0" applyNumberFormat="1" applyFont="1" applyFill="1" applyBorder="1" applyAlignment="1" applyProtection="1">
      <alignment horizontal="center" vertical="center"/>
      <protection hidden="1"/>
    </xf>
    <xf numFmtId="167" fontId="11" fillId="10" borderId="114" xfId="0" applyNumberFormat="1" applyFont="1" applyFill="1" applyBorder="1" applyAlignment="1" applyProtection="1">
      <alignment horizontal="center" vertical="center"/>
      <protection hidden="1"/>
    </xf>
    <xf numFmtId="167" fontId="11" fillId="10" borderId="38" xfId="0" applyNumberFormat="1" applyFont="1" applyFill="1" applyBorder="1" applyAlignment="1" applyProtection="1">
      <alignment horizontal="center" vertical="center"/>
      <protection hidden="1"/>
    </xf>
    <xf numFmtId="167" fontId="22" fillId="7" borderId="19" xfId="0" applyNumberFormat="1" applyFont="1" applyFill="1" applyBorder="1" applyAlignment="1" applyProtection="1">
      <alignment horizontal="left" vertical="center" indent="1"/>
      <protection hidden="1"/>
    </xf>
    <xf numFmtId="167" fontId="22" fillId="7" borderId="32" xfId="0" applyNumberFormat="1" applyFont="1" applyFill="1" applyBorder="1" applyAlignment="1" applyProtection="1">
      <alignment horizontal="center" vertical="center"/>
      <protection hidden="1"/>
    </xf>
    <xf numFmtId="0" fontId="0" fillId="69" borderId="0" xfId="0" applyFill="1"/>
    <xf numFmtId="0" fontId="0" fillId="69" borderId="0" xfId="0" applyFill="1" applyProtection="1">
      <protection locked="0"/>
    </xf>
    <xf numFmtId="0" fontId="0" fillId="69" borderId="0" xfId="0" applyFill="1" applyAlignment="1" applyProtection="1">
      <alignment horizontal="center" vertical="center"/>
      <protection locked="0"/>
    </xf>
    <xf numFmtId="4" fontId="0" fillId="69" borderId="0" xfId="0" applyNumberFormat="1" applyFill="1"/>
    <xf numFmtId="0" fontId="12" fillId="69" borderId="0" xfId="0" applyFont="1" applyFill="1" applyAlignment="1" applyProtection="1">
      <alignment horizontal="center" vertical="center"/>
      <protection hidden="1"/>
    </xf>
    <xf numFmtId="10" fontId="0" fillId="69" borderId="0" xfId="0" applyNumberFormat="1" applyFill="1"/>
    <xf numFmtId="14" fontId="0" fillId="6" borderId="8" xfId="0" applyNumberFormat="1" applyFill="1" applyBorder="1" applyAlignment="1" applyProtection="1">
      <alignment horizontal="left" vertical="center" indent="1"/>
      <protection locked="0"/>
    </xf>
    <xf numFmtId="167" fontId="11" fillId="10" borderId="36" xfId="0" applyNumberFormat="1" applyFont="1" applyFill="1" applyBorder="1" applyAlignment="1" applyProtection="1">
      <alignment horizontal="left" vertical="center" indent="1"/>
      <protection hidden="1"/>
    </xf>
    <xf numFmtId="167" fontId="11" fillId="10" borderId="37" xfId="0" applyNumberFormat="1" applyFont="1" applyFill="1" applyBorder="1" applyAlignment="1" applyProtection="1">
      <alignment horizontal="center" vertical="center"/>
      <protection hidden="1"/>
    </xf>
    <xf numFmtId="167" fontId="11" fillId="10" borderId="37" xfId="0" applyNumberFormat="1" applyFont="1" applyFill="1" applyBorder="1" applyAlignment="1" applyProtection="1">
      <alignment horizontal="left" vertical="center" indent="1"/>
      <protection hidden="1"/>
    </xf>
    <xf numFmtId="0" fontId="3" fillId="6" borderId="8" xfId="0" applyFont="1" applyFill="1" applyBorder="1" applyAlignment="1" applyProtection="1">
      <alignment horizontal="left" vertical="center" indent="1"/>
      <protection locked="0"/>
    </xf>
    <xf numFmtId="167" fontId="58" fillId="7" borderId="8" xfId="0" applyNumberFormat="1" applyFont="1" applyFill="1" applyBorder="1" applyAlignment="1" applyProtection="1">
      <alignment horizontal="left" vertical="center" wrapText="1" indent="1"/>
      <protection hidden="1"/>
    </xf>
    <xf numFmtId="167" fontId="58" fillId="9" borderId="8" xfId="0" applyNumberFormat="1" applyFont="1" applyFill="1" applyBorder="1" applyAlignment="1" applyProtection="1">
      <alignment horizontal="left" vertical="center" wrapText="1" indent="1"/>
      <protection hidden="1"/>
    </xf>
    <xf numFmtId="0" fontId="59" fillId="69" borderId="0" xfId="0" applyFont="1" applyFill="1" applyAlignment="1">
      <alignment horizontal="left" wrapText="1" indent="1"/>
    </xf>
    <xf numFmtId="0" fontId="0" fillId="6" borderId="0" xfId="0" applyFill="1" applyAlignment="1" applyProtection="1">
      <alignment horizontal="left" vertical="center" wrapText="1" indent="1"/>
      <protection hidden="1"/>
    </xf>
    <xf numFmtId="0" fontId="20" fillId="69" borderId="0" xfId="0" applyFont="1" applyFill="1"/>
    <xf numFmtId="10" fontId="20" fillId="69" borderId="0" xfId="0" applyNumberFormat="1" applyFont="1" applyFill="1"/>
    <xf numFmtId="0" fontId="0" fillId="6" borderId="0" xfId="0" applyFill="1" applyAlignment="1" applyProtection="1">
      <alignment vertical="top" wrapText="1"/>
      <protection hidden="1"/>
    </xf>
    <xf numFmtId="0" fontId="3" fillId="50" borderId="0" xfId="0" applyFont="1" applyFill="1" applyAlignment="1" applyProtection="1">
      <alignment vertical="top" wrapText="1"/>
      <protection hidden="1"/>
    </xf>
    <xf numFmtId="0" fontId="11" fillId="50" borderId="0" xfId="0" applyFont="1" applyFill="1" applyAlignment="1" applyProtection="1">
      <alignment vertical="top" wrapText="1"/>
      <protection hidden="1"/>
    </xf>
    <xf numFmtId="0" fontId="1" fillId="50" borderId="0" xfId="0" applyFont="1" applyFill="1" applyAlignment="1" applyProtection="1">
      <alignment vertical="center" wrapText="1"/>
      <protection hidden="1"/>
    </xf>
    <xf numFmtId="0" fontId="0" fillId="48" borderId="116" xfId="0" applyFill="1" applyBorder="1" applyAlignment="1" applyProtection="1">
      <alignment horizontal="left" vertical="center" wrapText="1" indent="1"/>
      <protection hidden="1"/>
    </xf>
    <xf numFmtId="0" fontId="41" fillId="49" borderId="116" xfId="0" applyFont="1" applyFill="1" applyBorder="1" applyAlignment="1" applyProtection="1">
      <alignment horizontal="center" vertical="center" wrapText="1"/>
      <protection hidden="1"/>
    </xf>
    <xf numFmtId="0" fontId="0" fillId="49" borderId="116" xfId="0" applyFill="1" applyBorder="1" applyAlignment="1" applyProtection="1">
      <alignment horizontal="left" vertical="center" wrapText="1" indent="1"/>
      <protection hidden="1"/>
    </xf>
    <xf numFmtId="167" fontId="22" fillId="7" borderId="22" xfId="0" applyNumberFormat="1" applyFont="1" applyFill="1" applyBorder="1" applyAlignment="1" applyProtection="1">
      <alignment vertical="center"/>
      <protection hidden="1"/>
    </xf>
    <xf numFmtId="167" fontId="22" fillId="7" borderId="28" xfId="0" applyNumberFormat="1" applyFont="1" applyFill="1" applyBorder="1" applyAlignment="1" applyProtection="1">
      <alignment vertical="center"/>
      <protection hidden="1"/>
    </xf>
    <xf numFmtId="167" fontId="22" fillId="7" borderId="29" xfId="0" applyNumberFormat="1" applyFont="1" applyFill="1" applyBorder="1" applyAlignment="1" applyProtection="1">
      <alignment vertical="center"/>
      <protection hidden="1"/>
    </xf>
    <xf numFmtId="0" fontId="0" fillId="6" borderId="4" xfId="0" applyFill="1" applyBorder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167" fontId="22" fillId="7" borderId="5" xfId="0" applyNumberFormat="1" applyFont="1" applyFill="1" applyBorder="1" applyAlignment="1" applyProtection="1">
      <alignment horizontal="center" vertical="center"/>
      <protection hidden="1"/>
    </xf>
    <xf numFmtId="167" fontId="22" fillId="7" borderId="109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/>
    <xf numFmtId="0" fontId="0" fillId="17" borderId="0" xfId="0" applyFill="1"/>
    <xf numFmtId="167" fontId="22" fillId="7" borderId="0" xfId="0" applyNumberFormat="1" applyFont="1" applyFill="1" applyAlignment="1" applyProtection="1">
      <alignment horizontal="center" vertical="center"/>
      <protection hidden="1"/>
    </xf>
    <xf numFmtId="0" fontId="0" fillId="8" borderId="26" xfId="0" applyFill="1" applyBorder="1" applyAlignment="1" applyProtection="1">
      <alignment horizontal="left" vertical="center" indent="1"/>
      <protection hidden="1"/>
    </xf>
    <xf numFmtId="167" fontId="0" fillId="33" borderId="51" xfId="0" applyNumberFormat="1" applyFill="1" applyBorder="1" applyAlignment="1" applyProtection="1">
      <alignment horizontal="right" vertical="center"/>
      <protection hidden="1"/>
    </xf>
    <xf numFmtId="0" fontId="0" fillId="33" borderId="50" xfId="0" applyFill="1" applyBorder="1" applyAlignment="1" applyProtection="1">
      <alignment horizontal="right" vertical="center"/>
      <protection hidden="1"/>
    </xf>
    <xf numFmtId="0" fontId="0" fillId="5" borderId="15" xfId="0" applyFill="1" applyBorder="1" applyAlignment="1" applyProtection="1">
      <alignment horizontal="left" vertical="center" indent="1"/>
      <protection hidden="1"/>
    </xf>
    <xf numFmtId="0" fontId="0" fillId="5" borderId="13" xfId="0" applyFill="1" applyBorder="1" applyAlignment="1" applyProtection="1">
      <alignment horizontal="left" vertical="center" indent="1"/>
      <protection hidden="1"/>
    </xf>
    <xf numFmtId="0" fontId="0" fillId="5" borderId="19" xfId="0" applyFill="1" applyBorder="1" applyAlignment="1" applyProtection="1">
      <alignment horizontal="left" vertical="center" indent="1"/>
      <protection hidden="1"/>
    </xf>
    <xf numFmtId="0" fontId="0" fillId="5" borderId="113" xfId="0" applyFill="1" applyBorder="1" applyAlignment="1" applyProtection="1">
      <alignment horizontal="left" vertical="center" indent="1"/>
      <protection hidden="1"/>
    </xf>
    <xf numFmtId="0" fontId="0" fillId="25" borderId="23" xfId="0" applyFill="1" applyBorder="1" applyAlignment="1" applyProtection="1">
      <alignment horizontal="left" vertical="center" indent="1"/>
      <protection hidden="1"/>
    </xf>
    <xf numFmtId="0" fontId="0" fillId="25" borderId="13" xfId="0" applyFill="1" applyBorder="1" applyAlignment="1" applyProtection="1">
      <alignment horizontal="left" vertical="center" indent="1"/>
      <protection hidden="1"/>
    </xf>
    <xf numFmtId="0" fontId="0" fillId="25" borderId="12" xfId="0" applyFill="1" applyBorder="1" applyAlignment="1" applyProtection="1">
      <alignment horizontal="left" vertical="center" indent="1"/>
      <protection hidden="1"/>
    </xf>
    <xf numFmtId="0" fontId="0" fillId="69" borderId="0" xfId="0" applyFill="1" applyAlignment="1" applyProtection="1">
      <alignment vertical="center"/>
      <protection hidden="1"/>
    </xf>
    <xf numFmtId="0" fontId="3" fillId="65" borderId="24" xfId="4" applyFont="1" applyFill="1" applyBorder="1" applyAlignment="1">
      <alignment horizontal="right" vertical="center" indent="1"/>
    </xf>
    <xf numFmtId="0" fontId="3" fillId="65" borderId="25" xfId="4" applyFont="1" applyFill="1" applyBorder="1" applyAlignment="1">
      <alignment horizontal="right" vertical="center" indent="1"/>
    </xf>
    <xf numFmtId="0" fontId="3" fillId="65" borderId="111" xfId="4" applyFont="1" applyFill="1" applyBorder="1" applyAlignment="1">
      <alignment horizontal="right" vertical="center" indent="1"/>
    </xf>
    <xf numFmtId="0" fontId="3" fillId="65" borderId="112" xfId="4" applyFont="1" applyFill="1" applyBorder="1" applyAlignment="1">
      <alignment horizontal="right" vertical="center" indent="1"/>
    </xf>
    <xf numFmtId="4" fontId="3" fillId="8" borderId="24" xfId="4" applyNumberFormat="1" applyFont="1" applyFill="1" applyBorder="1" applyAlignment="1">
      <alignment horizontal="right" vertical="center" indent="1"/>
    </xf>
    <xf numFmtId="4" fontId="3" fillId="8" borderId="25" xfId="4" applyNumberFormat="1" applyFont="1" applyFill="1" applyBorder="1" applyAlignment="1">
      <alignment horizontal="right" vertical="center" indent="1"/>
    </xf>
    <xf numFmtId="4" fontId="3" fillId="8" borderId="6" xfId="4" applyNumberFormat="1" applyFont="1" applyFill="1" applyBorder="1" applyAlignment="1">
      <alignment horizontal="right" vertical="center" indent="1"/>
    </xf>
    <xf numFmtId="4" fontId="3" fillId="8" borderId="17" xfId="4" applyNumberFormat="1" applyFont="1" applyFill="1" applyBorder="1" applyAlignment="1">
      <alignment horizontal="right" vertical="center" indent="1"/>
    </xf>
    <xf numFmtId="4" fontId="3" fillId="65" borderId="7" xfId="4" applyNumberFormat="1" applyFont="1" applyFill="1" applyBorder="1" applyAlignment="1">
      <alignment horizontal="right" vertical="center" indent="1"/>
    </xf>
    <xf numFmtId="4" fontId="3" fillId="65" borderId="16" xfId="4" applyNumberFormat="1" applyFont="1" applyFill="1" applyBorder="1" applyAlignment="1">
      <alignment horizontal="right" vertical="center" indent="1"/>
    </xf>
    <xf numFmtId="0" fontId="3" fillId="65" borderId="8" xfId="4" applyFont="1" applyFill="1" applyBorder="1" applyAlignment="1">
      <alignment horizontal="right" vertical="center" indent="1"/>
    </xf>
    <xf numFmtId="0" fontId="3" fillId="65" borderId="14" xfId="4" applyFont="1" applyFill="1" applyBorder="1" applyAlignment="1">
      <alignment horizontal="right" vertical="center" indent="1"/>
    </xf>
    <xf numFmtId="10" fontId="3" fillId="65" borderId="20" xfId="3" applyNumberFormat="1" applyFont="1" applyFill="1" applyBorder="1" applyAlignment="1">
      <alignment horizontal="right" vertical="center" indent="1"/>
    </xf>
    <xf numFmtId="10" fontId="3" fillId="65" borderId="21" xfId="3" applyNumberFormat="1" applyFont="1" applyFill="1" applyBorder="1" applyAlignment="1">
      <alignment horizontal="right" vertical="center" indent="1"/>
    </xf>
    <xf numFmtId="0" fontId="3" fillId="8" borderId="24" xfId="4" applyFont="1" applyFill="1" applyBorder="1" applyAlignment="1">
      <alignment horizontal="right" vertical="center" wrapText="1" indent="1"/>
    </xf>
    <xf numFmtId="0" fontId="3" fillId="8" borderId="24" xfId="4" applyFont="1" applyFill="1" applyBorder="1" applyAlignment="1">
      <alignment horizontal="right" vertical="center" indent="1"/>
    </xf>
    <xf numFmtId="0" fontId="3" fillId="8" borderId="25" xfId="4" applyFont="1" applyFill="1" applyBorder="1" applyAlignment="1">
      <alignment horizontal="right" vertical="center" indent="1"/>
    </xf>
    <xf numFmtId="0" fontId="3" fillId="8" borderId="7" xfId="4" applyFont="1" applyFill="1" applyBorder="1" applyAlignment="1">
      <alignment horizontal="right" vertical="center" wrapText="1" indent="1"/>
    </xf>
    <xf numFmtId="0" fontId="3" fillId="8" borderId="7" xfId="4" applyFont="1" applyFill="1" applyBorder="1" applyAlignment="1">
      <alignment horizontal="right" vertical="center" indent="1"/>
    </xf>
    <xf numFmtId="0" fontId="3" fillId="8" borderId="16" xfId="4" applyFont="1" applyFill="1" applyBorder="1" applyAlignment="1">
      <alignment horizontal="right" vertical="center" indent="1"/>
    </xf>
    <xf numFmtId="0" fontId="3" fillId="8" borderId="111" xfId="4" applyFont="1" applyFill="1" applyBorder="1" applyAlignment="1">
      <alignment horizontal="right" vertical="center" wrapText="1" indent="1"/>
    </xf>
    <xf numFmtId="0" fontId="3" fillId="8" borderId="111" xfId="4" applyFont="1" applyFill="1" applyBorder="1" applyAlignment="1">
      <alignment horizontal="right" vertical="center" indent="1"/>
    </xf>
    <xf numFmtId="0" fontId="3" fillId="8" borderId="112" xfId="4" applyFont="1" applyFill="1" applyBorder="1" applyAlignment="1">
      <alignment horizontal="right" vertical="center" indent="1"/>
    </xf>
    <xf numFmtId="0" fontId="3" fillId="65" borderId="109" xfId="4" applyFont="1" applyFill="1" applyBorder="1" applyAlignment="1">
      <alignment horizontal="right" vertical="center" indent="1"/>
    </xf>
    <xf numFmtId="0" fontId="3" fillId="65" borderId="115" xfId="4" applyFont="1" applyFill="1" applyBorder="1" applyAlignment="1">
      <alignment horizontal="right" vertical="center" indent="1"/>
    </xf>
    <xf numFmtId="0" fontId="3" fillId="25" borderId="7" xfId="4" applyFont="1" applyFill="1" applyBorder="1" applyAlignment="1">
      <alignment horizontal="right" vertical="center" indent="1"/>
    </xf>
    <xf numFmtId="0" fontId="3" fillId="65" borderId="7" xfId="4" applyFont="1" applyFill="1" applyBorder="1" applyAlignment="1">
      <alignment horizontal="right" vertical="center" indent="1"/>
    </xf>
    <xf numFmtId="0" fontId="3" fillId="65" borderId="16" xfId="4" applyFont="1" applyFill="1" applyBorder="1" applyAlignment="1">
      <alignment horizontal="right" vertical="center" indent="1"/>
    </xf>
    <xf numFmtId="0" fontId="60" fillId="0" borderId="8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166" fontId="0" fillId="32" borderId="71" xfId="0" applyNumberFormat="1" applyFill="1" applyBorder="1" applyAlignment="1" applyProtection="1">
      <alignment vertical="center"/>
      <protection hidden="1"/>
    </xf>
    <xf numFmtId="0" fontId="22" fillId="57" borderId="0" xfId="0" applyFont="1" applyFill="1" applyAlignment="1" applyProtection="1">
      <alignment horizontal="right"/>
      <protection hidden="1"/>
    </xf>
    <xf numFmtId="167" fontId="22" fillId="7" borderId="117" xfId="0" applyNumberFormat="1" applyFont="1" applyFill="1" applyBorder="1" applyAlignment="1" applyProtection="1">
      <alignment horizontal="left" vertical="center" indent="1"/>
      <protection hidden="1"/>
    </xf>
    <xf numFmtId="0" fontId="60" fillId="0" borderId="8" xfId="0" applyFont="1" applyBorder="1" applyAlignment="1">
      <alignment horizontal="right" vertical="center"/>
    </xf>
    <xf numFmtId="0" fontId="60" fillId="0" borderId="20" xfId="0" applyFont="1" applyBorder="1" applyAlignment="1">
      <alignment horizontal="right" vertical="center"/>
    </xf>
    <xf numFmtId="0" fontId="61" fillId="57" borderId="0" xfId="0" applyFont="1" applyFill="1" applyAlignment="1" applyProtection="1">
      <alignment vertical="top" wrapText="1"/>
      <protection hidden="1"/>
    </xf>
    <xf numFmtId="0" fontId="61" fillId="57" borderId="9" xfId="0" applyFont="1" applyFill="1" applyBorder="1" applyAlignment="1" applyProtection="1">
      <alignment vertical="top" wrapText="1"/>
      <protection hidden="1"/>
    </xf>
    <xf numFmtId="0" fontId="62" fillId="57" borderId="0" xfId="0" applyFont="1" applyFill="1" applyAlignment="1" applyProtection="1">
      <alignment horizontal="right" vertical="top"/>
      <protection hidden="1"/>
    </xf>
    <xf numFmtId="166" fontId="0" fillId="32" borderId="71" xfId="0" applyNumberFormat="1" applyFill="1" applyBorder="1" applyAlignment="1" applyProtection="1">
      <alignment horizontal="right" vertical="center"/>
      <protection hidden="1"/>
    </xf>
    <xf numFmtId="167" fontId="20" fillId="7" borderId="8" xfId="0" applyNumberFormat="1" applyFont="1" applyFill="1" applyBorder="1" applyAlignment="1" applyProtection="1">
      <alignment horizontal="center" vertical="center" wrapText="1"/>
      <protection hidden="1"/>
    </xf>
    <xf numFmtId="167" fontId="20" fillId="7" borderId="8" xfId="0" quotePrefix="1" applyNumberFormat="1" applyFont="1" applyFill="1" applyBorder="1" applyAlignment="1" applyProtection="1">
      <alignment horizontal="center" vertical="center" wrapText="1"/>
      <protection hidden="1"/>
    </xf>
    <xf numFmtId="167" fontId="20" fillId="7" borderId="8" xfId="0" applyNumberFormat="1" applyFont="1" applyFill="1" applyBorder="1" applyAlignment="1" applyProtection="1">
      <alignment vertical="center"/>
      <protection hidden="1"/>
    </xf>
    <xf numFmtId="166" fontId="30" fillId="8" borderId="8" xfId="0" applyNumberFormat="1" applyFont="1" applyFill="1" applyBorder="1" applyAlignment="1" applyProtection="1">
      <alignment vertical="center"/>
      <protection hidden="1"/>
    </xf>
    <xf numFmtId="166" fontId="0" fillId="10" borderId="8" xfId="0" applyNumberFormat="1" applyFill="1" applyBorder="1" applyAlignment="1" applyProtection="1">
      <alignment vertical="center"/>
      <protection hidden="1"/>
    </xf>
    <xf numFmtId="0" fontId="3" fillId="56" borderId="0" xfId="0" applyFont="1" applyFill="1" applyAlignment="1" applyProtection="1">
      <alignment vertical="center"/>
      <protection hidden="1"/>
    </xf>
    <xf numFmtId="164" fontId="0" fillId="30" borderId="58" xfId="0" applyNumberFormat="1" applyFill="1" applyBorder="1" applyAlignment="1" applyProtection="1">
      <alignment vertical="center"/>
      <protection locked="0"/>
    </xf>
    <xf numFmtId="0" fontId="0" fillId="70" borderId="0" xfId="0" applyFill="1" applyAlignment="1" applyProtection="1">
      <alignment vertical="center"/>
      <protection hidden="1"/>
    </xf>
    <xf numFmtId="0" fontId="0" fillId="56" borderId="118" xfId="0" applyFill="1" applyBorder="1" applyAlignment="1" applyProtection="1">
      <alignment vertical="center"/>
      <protection hidden="1"/>
    </xf>
    <xf numFmtId="0" fontId="20" fillId="56" borderId="0" xfId="0" applyFont="1" applyFill="1" applyAlignment="1" applyProtection="1">
      <alignment vertical="center"/>
      <protection hidden="1"/>
    </xf>
    <xf numFmtId="14" fontId="3" fillId="56" borderId="0" xfId="5" applyNumberFormat="1" applyFont="1" applyFill="1" applyBorder="1" applyAlignment="1" applyProtection="1">
      <alignment horizontal="left" vertical="center"/>
      <protection hidden="1"/>
    </xf>
    <xf numFmtId="14" fontId="20" fillId="56" borderId="0" xfId="5" applyNumberFormat="1" applyFont="1" applyFill="1" applyBorder="1" applyAlignment="1" applyProtection="1">
      <alignment horizontal="left" vertical="center"/>
      <protection hidden="1"/>
    </xf>
    <xf numFmtId="14" fontId="20" fillId="56" borderId="0" xfId="5" applyNumberFormat="1" applyFont="1" applyFill="1" applyBorder="1" applyAlignment="1" applyProtection="1">
      <alignment horizontal="right" vertical="center"/>
      <protection hidden="1"/>
    </xf>
    <xf numFmtId="14" fontId="20" fillId="56" borderId="0" xfId="5" applyNumberFormat="1" applyFont="1" applyFill="1" applyBorder="1" applyAlignment="1" applyProtection="1">
      <alignment vertical="center"/>
      <protection hidden="1"/>
    </xf>
    <xf numFmtId="0" fontId="0" fillId="0" borderId="8" xfId="0" applyBorder="1" applyAlignment="1">
      <alignment vertical="center"/>
    </xf>
    <xf numFmtId="10" fontId="0" fillId="0" borderId="8" xfId="3" applyNumberFormat="1" applyFont="1" applyBorder="1" applyAlignment="1">
      <alignment vertical="center"/>
    </xf>
    <xf numFmtId="14" fontId="0" fillId="0" borderId="8" xfId="0" applyNumberFormat="1" applyBorder="1" applyAlignment="1" applyProtection="1">
      <alignment vertical="center"/>
      <protection locked="0"/>
    </xf>
    <xf numFmtId="166" fontId="3" fillId="6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Border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4" fontId="0" fillId="0" borderId="8" xfId="0" applyNumberFormat="1" applyBorder="1" applyAlignment="1">
      <alignment vertical="center"/>
    </xf>
    <xf numFmtId="164" fontId="55" fillId="0" borderId="8" xfId="5" applyNumberFormat="1" applyFont="1" applyFill="1" applyBorder="1" applyAlignment="1" applyProtection="1">
      <alignment vertical="center"/>
    </xf>
    <xf numFmtId="14" fontId="33" fillId="56" borderId="0" xfId="5" applyNumberFormat="1" applyFont="1" applyFill="1" applyBorder="1" applyAlignment="1" applyProtection="1">
      <alignment horizontal="right"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20" fillId="3" borderId="11" xfId="0" applyFont="1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167" fontId="0" fillId="6" borderId="8" xfId="0" applyNumberFormat="1" applyFill="1" applyBorder="1" applyAlignment="1" applyProtection="1">
      <alignment vertical="center"/>
      <protection locked="0"/>
    </xf>
    <xf numFmtId="164" fontId="55" fillId="6" borderId="8" xfId="3" applyNumberFormat="1" applyFont="1" applyFill="1" applyBorder="1" applyAlignment="1" applyProtection="1">
      <alignment vertical="center"/>
      <protection locked="0"/>
    </xf>
    <xf numFmtId="43" fontId="64" fillId="69" borderId="0" xfId="5" applyFont="1" applyFill="1"/>
    <xf numFmtId="0" fontId="0" fillId="33" borderId="71" xfId="0" applyFill="1" applyBorder="1" applyAlignment="1" applyProtection="1">
      <alignment vertical="center"/>
      <protection hidden="1"/>
    </xf>
    <xf numFmtId="0" fontId="0" fillId="3" borderId="124" xfId="0" applyFill="1" applyBorder="1" applyAlignment="1" applyProtection="1">
      <alignment vertical="center"/>
      <protection hidden="1"/>
    </xf>
    <xf numFmtId="0" fontId="0" fillId="3" borderId="120" xfId="0" applyFill="1" applyBorder="1" applyAlignment="1" applyProtection="1">
      <alignment vertical="center"/>
      <protection hidden="1"/>
    </xf>
    <xf numFmtId="0" fontId="0" fillId="3" borderId="125" xfId="0" applyFill="1" applyBorder="1" applyAlignment="1" applyProtection="1">
      <alignment vertical="center"/>
      <protection hidden="1"/>
    </xf>
    <xf numFmtId="0" fontId="0" fillId="56" borderId="126" xfId="0" applyFill="1" applyBorder="1" applyAlignment="1" applyProtection="1">
      <alignment vertical="center"/>
      <protection hidden="1"/>
    </xf>
    <xf numFmtId="0" fontId="0" fillId="56" borderId="127" xfId="0" applyFill="1" applyBorder="1" applyAlignment="1" applyProtection="1">
      <alignment vertical="center"/>
      <protection hidden="1"/>
    </xf>
    <xf numFmtId="0" fontId="20" fillId="56" borderId="128" xfId="0" applyFont="1" applyFill="1" applyBorder="1" applyAlignment="1" applyProtection="1">
      <alignment vertical="center"/>
      <protection hidden="1"/>
    </xf>
    <xf numFmtId="0" fontId="20" fillId="56" borderId="129" xfId="0" applyFont="1" applyFill="1" applyBorder="1" applyAlignment="1" applyProtection="1">
      <alignment vertical="center"/>
      <protection hidden="1"/>
    </xf>
    <xf numFmtId="0" fontId="20" fillId="56" borderId="130" xfId="0" applyFont="1" applyFill="1" applyBorder="1" applyAlignment="1" applyProtection="1">
      <alignment vertical="center"/>
      <protection hidden="1"/>
    </xf>
    <xf numFmtId="0" fontId="20" fillId="56" borderId="131" xfId="0" applyFont="1" applyFill="1" applyBorder="1" applyAlignment="1" applyProtection="1">
      <alignment vertical="center"/>
      <protection hidden="1"/>
    </xf>
    <xf numFmtId="0" fontId="20" fillId="56" borderId="132" xfId="0" applyFont="1" applyFill="1" applyBorder="1" applyAlignment="1" applyProtection="1">
      <alignment vertical="center"/>
      <protection hidden="1"/>
    </xf>
    <xf numFmtId="0" fontId="0" fillId="71" borderId="0" xfId="0" applyFill="1" applyAlignment="1" applyProtection="1">
      <alignment vertical="center"/>
      <protection hidden="1"/>
    </xf>
    <xf numFmtId="0" fontId="0" fillId="73" borderId="133" xfId="0" applyFill="1" applyBorder="1" applyAlignment="1" applyProtection="1">
      <alignment vertical="center"/>
      <protection hidden="1"/>
    </xf>
    <xf numFmtId="0" fontId="0" fillId="73" borderId="0" xfId="0" applyFill="1" applyAlignment="1" applyProtection="1">
      <alignment vertical="center"/>
      <protection hidden="1"/>
    </xf>
    <xf numFmtId="0" fontId="0" fillId="73" borderId="0" xfId="0" applyFill="1" applyAlignment="1" applyProtection="1">
      <alignment vertical="top"/>
      <protection hidden="1"/>
    </xf>
    <xf numFmtId="0" fontId="64" fillId="73" borderId="133" xfId="0" applyFont="1" applyFill="1" applyBorder="1" applyAlignment="1" applyProtection="1">
      <alignment horizontal="left"/>
      <protection hidden="1"/>
    </xf>
    <xf numFmtId="0" fontId="64" fillId="73" borderId="134" xfId="0" applyFont="1" applyFill="1" applyBorder="1" applyAlignment="1" applyProtection="1">
      <alignment horizontal="left"/>
      <protection hidden="1"/>
    </xf>
    <xf numFmtId="0" fontId="64" fillId="73" borderId="134" xfId="0" applyFont="1" applyFill="1" applyBorder="1" applyAlignment="1" applyProtection="1">
      <alignment horizontal="left" vertical="top"/>
      <protection hidden="1"/>
    </xf>
    <xf numFmtId="0" fontId="0" fillId="51" borderId="0" xfId="0" applyFill="1" applyAlignment="1" applyProtection="1">
      <alignment horizontal="right" vertical="top" wrapText="1"/>
      <protection hidden="1"/>
    </xf>
    <xf numFmtId="0" fontId="0" fillId="51" borderId="0" xfId="0" applyFill="1" applyAlignment="1" applyProtection="1">
      <alignment vertical="top" wrapText="1"/>
      <protection hidden="1"/>
    </xf>
    <xf numFmtId="0" fontId="0" fillId="75" borderId="0" xfId="0" applyFill="1" applyAlignment="1" applyProtection="1">
      <alignment horizontal="left" vertical="center" wrapText="1" indent="1"/>
      <protection hidden="1"/>
    </xf>
    <xf numFmtId="0" fontId="41" fillId="25" borderId="0" xfId="0" applyFont="1" applyFill="1" applyAlignment="1" applyProtection="1">
      <alignment horizontal="center" vertical="center"/>
      <protection hidden="1"/>
    </xf>
    <xf numFmtId="0" fontId="0" fillId="25" borderId="0" xfId="0" applyFill="1" applyAlignment="1" applyProtection="1">
      <alignment horizontal="left" vertical="top" wrapText="1" indent="1"/>
      <protection hidden="1"/>
    </xf>
    <xf numFmtId="0" fontId="0" fillId="76" borderId="0" xfId="0" applyFill="1" applyAlignment="1" applyProtection="1">
      <alignment horizontal="left" vertical="center" wrapText="1" indent="1"/>
      <protection hidden="1"/>
    </xf>
    <xf numFmtId="0" fontId="23" fillId="51" borderId="0" xfId="0" applyFont="1" applyFill="1" applyAlignment="1" applyProtection="1">
      <alignment vertical="top" wrapText="1"/>
      <protection hidden="1"/>
    </xf>
    <xf numFmtId="0" fontId="23" fillId="6" borderId="0" xfId="0" applyFont="1" applyFill="1" applyAlignment="1" applyProtection="1">
      <alignment horizontal="left" vertical="top" wrapText="1"/>
      <protection hidden="1"/>
    </xf>
    <xf numFmtId="0" fontId="0" fillId="58" borderId="85" xfId="0" applyFill="1" applyBorder="1" applyAlignment="1" applyProtection="1">
      <alignment horizontal="left" vertical="center"/>
      <protection hidden="1"/>
    </xf>
    <xf numFmtId="167" fontId="11" fillId="10" borderId="37" xfId="0" applyNumberFormat="1" applyFont="1" applyFill="1" applyBorder="1" applyAlignment="1" applyProtection="1">
      <alignment horizontal="left" vertical="center"/>
      <protection hidden="1"/>
    </xf>
    <xf numFmtId="0" fontId="3" fillId="50" borderId="0" xfId="0" applyFont="1" applyFill="1" applyAlignment="1" applyProtection="1">
      <alignment horizontal="left" vertical="center" indent="1"/>
      <protection hidden="1"/>
    </xf>
    <xf numFmtId="0" fontId="0" fillId="33" borderId="50" xfId="0" applyFill="1" applyBorder="1" applyAlignment="1" applyProtection="1">
      <alignment vertical="center" wrapText="1"/>
      <protection hidden="1"/>
    </xf>
    <xf numFmtId="0" fontId="0" fillId="58" borderId="85" xfId="0" applyFill="1" applyBorder="1" applyAlignment="1" applyProtection="1">
      <alignment horizontal="left" vertical="center" wrapText="1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" xfId="0" applyFill="1" applyBorder="1" applyAlignment="1" applyProtection="1">
      <alignment vertical="center"/>
      <protection hidden="1"/>
    </xf>
    <xf numFmtId="0" fontId="0" fillId="6" borderId="136" xfId="0" applyFill="1" applyBorder="1" applyAlignment="1" applyProtection="1">
      <alignment vertical="center"/>
      <protection hidden="1"/>
    </xf>
    <xf numFmtId="0" fontId="0" fillId="6" borderId="137" xfId="0" applyFill="1" applyBorder="1" applyAlignment="1" applyProtection="1">
      <alignment vertical="center"/>
      <protection hidden="1"/>
    </xf>
    <xf numFmtId="14" fontId="68" fillId="0" borderId="8" xfId="0" applyNumberFormat="1" applyFont="1" applyBorder="1" applyAlignment="1">
      <alignment horizontal="left" vertical="center" indent="1"/>
    </xf>
    <xf numFmtId="10" fontId="68" fillId="0" borderId="8" xfId="0" applyNumberFormat="1" applyFont="1" applyBorder="1" applyAlignment="1">
      <alignment horizontal="right" vertical="center" indent="1"/>
    </xf>
    <xf numFmtId="0" fontId="68" fillId="0" borderId="8" xfId="0" applyFont="1" applyBorder="1" applyAlignment="1">
      <alignment horizontal="right" vertical="center" indent="1"/>
    </xf>
    <xf numFmtId="0" fontId="0" fillId="5" borderId="0" xfId="0" applyFill="1" applyAlignment="1" applyProtection="1">
      <alignment horizontal="left" vertical="center" indent="1"/>
      <protection hidden="1"/>
    </xf>
    <xf numFmtId="0" fontId="3" fillId="65" borderId="7" xfId="4" applyFont="1" applyFill="1" applyBorder="1" applyAlignment="1">
      <alignment horizontal="left" vertical="center" indent="1"/>
    </xf>
    <xf numFmtId="164" fontId="24" fillId="10" borderId="8" xfId="5" applyNumberFormat="1" applyFont="1" applyFill="1" applyBorder="1" applyAlignment="1" applyProtection="1">
      <alignment vertical="center"/>
    </xf>
    <xf numFmtId="167" fontId="22" fillId="7" borderId="2" xfId="0" applyNumberFormat="1" applyFont="1" applyFill="1" applyBorder="1" applyAlignment="1" applyProtection="1">
      <alignment horizontal="left" vertical="center" indent="1"/>
      <protection hidden="1"/>
    </xf>
    <xf numFmtId="10" fontId="68" fillId="8" borderId="8" xfId="0" applyNumberFormat="1" applyFont="1" applyFill="1" applyBorder="1" applyAlignment="1">
      <alignment horizontal="right" vertical="center" indent="1"/>
    </xf>
    <xf numFmtId="4" fontId="3" fillId="25" borderId="7" xfId="4" applyNumberFormat="1" applyFont="1" applyFill="1" applyBorder="1" applyAlignment="1">
      <alignment horizontal="right" vertical="center" indent="1"/>
    </xf>
    <xf numFmtId="167" fontId="22" fillId="35" borderId="75" xfId="0" applyNumberFormat="1" applyFont="1" applyFill="1" applyBorder="1" applyAlignment="1" applyProtection="1">
      <alignment horizontal="left" vertical="center" indent="1"/>
      <protection hidden="1"/>
    </xf>
    <xf numFmtId="0" fontId="3" fillId="6" borderId="0" xfId="0" applyFont="1" applyFill="1" applyAlignment="1" applyProtection="1">
      <alignment horizontal="left" vertical="center" indent="1"/>
      <protection hidden="1"/>
    </xf>
    <xf numFmtId="0" fontId="0" fillId="52" borderId="0" xfId="0" applyFill="1" applyAlignment="1" applyProtection="1">
      <alignment horizontal="left" vertical="center"/>
      <protection hidden="1"/>
    </xf>
    <xf numFmtId="10" fontId="3" fillId="25" borderId="7" xfId="3" applyNumberFormat="1" applyFont="1" applyFill="1" applyBorder="1" applyAlignment="1">
      <alignment horizontal="right" vertical="center" indent="1"/>
    </xf>
    <xf numFmtId="0" fontId="4" fillId="50" borderId="0" xfId="0" applyFont="1" applyFill="1" applyAlignment="1" applyProtection="1">
      <alignment vertical="top" wrapText="1"/>
      <protection hidden="1"/>
    </xf>
    <xf numFmtId="4" fontId="68" fillId="0" borderId="8" xfId="0" applyNumberFormat="1" applyFont="1" applyBorder="1" applyAlignment="1">
      <alignment horizontal="right" vertical="center" indent="1"/>
    </xf>
    <xf numFmtId="0" fontId="3" fillId="65" borderId="114" xfId="4" applyFont="1" applyFill="1" applyBorder="1" applyAlignment="1">
      <alignment horizontal="right" vertical="center" indent="1"/>
    </xf>
    <xf numFmtId="0" fontId="3" fillId="65" borderId="138" xfId="4" applyFont="1" applyFill="1" applyBorder="1" applyAlignment="1">
      <alignment horizontal="right" vertical="center" indent="1"/>
    </xf>
    <xf numFmtId="4" fontId="3" fillId="8" borderId="114" xfId="4" applyNumberFormat="1" applyFont="1" applyFill="1" applyBorder="1" applyAlignment="1">
      <alignment horizontal="right" vertical="center" indent="1"/>
    </xf>
    <xf numFmtId="4" fontId="3" fillId="8" borderId="40" xfId="4" applyNumberFormat="1" applyFont="1" applyFill="1" applyBorder="1" applyAlignment="1">
      <alignment horizontal="right" vertical="center" indent="1"/>
    </xf>
    <xf numFmtId="4" fontId="3" fillId="65" borderId="92" xfId="4" applyNumberFormat="1" applyFont="1" applyFill="1" applyBorder="1" applyAlignment="1">
      <alignment horizontal="right" vertical="center" indent="1"/>
    </xf>
    <xf numFmtId="0" fontId="3" fillId="65" borderId="29" xfId="4" applyFont="1" applyFill="1" applyBorder="1" applyAlignment="1">
      <alignment horizontal="right" vertical="center" indent="1"/>
    </xf>
    <xf numFmtId="10" fontId="3" fillId="65" borderId="3" xfId="3" applyNumberFormat="1" applyFont="1" applyFill="1" applyBorder="1" applyAlignment="1">
      <alignment horizontal="right" vertical="center" indent="1"/>
    </xf>
    <xf numFmtId="0" fontId="3" fillId="8" borderId="114" xfId="4" applyFont="1" applyFill="1" applyBorder="1" applyAlignment="1">
      <alignment horizontal="right" vertical="center" indent="1"/>
    </xf>
    <xf numFmtId="0" fontId="3" fillId="8" borderId="92" xfId="4" applyFont="1" applyFill="1" applyBorder="1" applyAlignment="1">
      <alignment horizontal="right" vertical="center" indent="1"/>
    </xf>
    <xf numFmtId="0" fontId="3" fillId="8" borderId="138" xfId="4" applyFont="1" applyFill="1" applyBorder="1" applyAlignment="1">
      <alignment horizontal="right" vertical="center" indent="1"/>
    </xf>
    <xf numFmtId="0" fontId="3" fillId="65" borderId="5" xfId="4" applyFont="1" applyFill="1" applyBorder="1" applyAlignment="1">
      <alignment horizontal="right" vertical="center" indent="1"/>
    </xf>
    <xf numFmtId="0" fontId="3" fillId="25" borderId="92" xfId="4" applyFont="1" applyFill="1" applyBorder="1" applyAlignment="1">
      <alignment horizontal="right" vertical="center" indent="1"/>
    </xf>
    <xf numFmtId="0" fontId="3" fillId="65" borderId="92" xfId="4" applyFont="1" applyFill="1" applyBorder="1" applyAlignment="1">
      <alignment horizontal="right" vertical="center" indent="1"/>
    </xf>
    <xf numFmtId="167" fontId="22" fillId="7" borderId="2" xfId="0" applyNumberFormat="1" applyFont="1" applyFill="1" applyBorder="1" applyAlignment="1" applyProtection="1">
      <alignment horizontal="center" vertical="center"/>
      <protection hidden="1"/>
    </xf>
    <xf numFmtId="0" fontId="3" fillId="65" borderId="139" xfId="4" applyFont="1" applyFill="1" applyBorder="1" applyAlignment="1">
      <alignment horizontal="right" vertical="center" indent="1"/>
    </xf>
    <xf numFmtId="0" fontId="3" fillId="65" borderId="45" xfId="4" applyFont="1" applyFill="1" applyBorder="1" applyAlignment="1">
      <alignment horizontal="right" vertical="center" indent="1"/>
    </xf>
    <xf numFmtId="4" fontId="3" fillId="8" borderId="139" xfId="4" applyNumberFormat="1" applyFont="1" applyFill="1" applyBorder="1" applyAlignment="1">
      <alignment horizontal="right" vertical="center" indent="1"/>
    </xf>
    <xf numFmtId="4" fontId="3" fillId="8" borderId="27" xfId="4" applyNumberFormat="1" applyFont="1" applyFill="1" applyBorder="1" applyAlignment="1">
      <alignment horizontal="right" vertical="center" indent="1"/>
    </xf>
    <xf numFmtId="4" fontId="3" fillId="65" borderId="26" xfId="4" applyNumberFormat="1" applyFont="1" applyFill="1" applyBorder="1" applyAlignment="1">
      <alignment horizontal="right" vertical="center" indent="1"/>
    </xf>
    <xf numFmtId="0" fontId="3" fillId="65" borderId="22" xfId="4" applyFont="1" applyFill="1" applyBorder="1" applyAlignment="1">
      <alignment horizontal="right" vertical="center" indent="1"/>
    </xf>
    <xf numFmtId="10" fontId="3" fillId="65" borderId="1" xfId="3" applyNumberFormat="1" applyFont="1" applyFill="1" applyBorder="1" applyAlignment="1">
      <alignment horizontal="right" vertical="center" indent="1"/>
    </xf>
    <xf numFmtId="0" fontId="3" fillId="8" borderId="139" xfId="4" applyFont="1" applyFill="1" applyBorder="1" applyAlignment="1">
      <alignment horizontal="right" vertical="center" indent="1"/>
    </xf>
    <xf numFmtId="0" fontId="3" fillId="8" borderId="26" xfId="4" applyFont="1" applyFill="1" applyBorder="1" applyAlignment="1">
      <alignment horizontal="right" vertical="center" indent="1"/>
    </xf>
    <xf numFmtId="0" fontId="3" fillId="8" borderId="45" xfId="4" applyFont="1" applyFill="1" applyBorder="1" applyAlignment="1">
      <alignment horizontal="right" vertical="center" indent="1"/>
    </xf>
    <xf numFmtId="0" fontId="3" fillId="65" borderId="4" xfId="4" applyFont="1" applyFill="1" applyBorder="1" applyAlignment="1">
      <alignment horizontal="right" vertical="center" indent="1"/>
    </xf>
    <xf numFmtId="0" fontId="3" fillId="65" borderId="26" xfId="4" applyFont="1" applyFill="1" applyBorder="1" applyAlignment="1">
      <alignment horizontal="right" vertical="center" indent="1"/>
    </xf>
    <xf numFmtId="0" fontId="3" fillId="65" borderId="9" xfId="4" applyFont="1" applyFill="1" applyBorder="1" applyAlignment="1">
      <alignment horizontal="right" vertical="center" indent="1"/>
    </xf>
    <xf numFmtId="0" fontId="3" fillId="25" borderId="26" xfId="4" applyFont="1" applyFill="1" applyBorder="1" applyAlignment="1">
      <alignment horizontal="right" vertical="center" indent="1"/>
    </xf>
    <xf numFmtId="166" fontId="0" fillId="33" borderId="51" xfId="0" applyNumberFormat="1" applyFill="1" applyBorder="1" applyAlignment="1" applyProtection="1">
      <alignment vertical="center"/>
      <protection hidden="1"/>
    </xf>
    <xf numFmtId="166" fontId="0" fillId="33" borderId="50" xfId="0" applyNumberFormat="1" applyFill="1" applyBorder="1" applyAlignment="1" applyProtection="1">
      <alignment vertical="center"/>
      <protection hidden="1"/>
    </xf>
    <xf numFmtId="0" fontId="42" fillId="57" borderId="0" xfId="0" applyFont="1" applyFill="1" applyAlignment="1" applyProtection="1">
      <alignment horizontal="right" vertical="center"/>
      <protection hidden="1"/>
    </xf>
    <xf numFmtId="0" fontId="0" fillId="8" borderId="61" xfId="0" applyFill="1" applyBorder="1" applyAlignment="1" applyProtection="1">
      <alignment horizontal="left" vertical="center"/>
      <protection hidden="1"/>
    </xf>
    <xf numFmtId="0" fontId="0" fillId="8" borderId="62" xfId="0" applyFill="1" applyBorder="1" applyAlignment="1" applyProtection="1">
      <alignment horizontal="left" vertical="center"/>
      <protection hidden="1"/>
    </xf>
    <xf numFmtId="0" fontId="0" fillId="8" borderId="63" xfId="0" applyFill="1" applyBorder="1" applyAlignment="1" applyProtection="1">
      <alignment horizontal="left" vertical="center"/>
      <protection hidden="1"/>
    </xf>
    <xf numFmtId="0" fontId="0" fillId="74" borderId="0" xfId="0" applyFill="1" applyAlignment="1" applyProtection="1">
      <alignment horizontal="center" vertical="center"/>
      <protection hidden="1"/>
    </xf>
    <xf numFmtId="0" fontId="0" fillId="72" borderId="0" xfId="0" applyFill="1" applyAlignment="1" applyProtection="1">
      <alignment horizontal="center" vertical="center"/>
      <protection hidden="1"/>
    </xf>
    <xf numFmtId="0" fontId="12" fillId="9" borderId="52" xfId="0" applyFont="1" applyFill="1" applyBorder="1" applyAlignment="1" applyProtection="1">
      <alignment horizontal="center" vertical="center"/>
      <protection hidden="1"/>
    </xf>
    <xf numFmtId="0" fontId="12" fillId="9" borderId="90" xfId="0" applyFont="1" applyFill="1" applyBorder="1" applyAlignment="1" applyProtection="1">
      <alignment horizontal="center" vertical="center"/>
      <protection hidden="1"/>
    </xf>
    <xf numFmtId="0" fontId="12" fillId="9" borderId="133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34" xfId="0" applyFont="1" applyFill="1" applyBorder="1" applyAlignment="1" applyProtection="1">
      <alignment horizontal="center" vertical="center"/>
      <protection hidden="1"/>
    </xf>
    <xf numFmtId="0" fontId="44" fillId="73" borderId="0" xfId="0" applyFont="1" applyFill="1" applyAlignment="1" applyProtection="1">
      <alignment horizontal="left" vertical="top" wrapText="1" shrinkToFit="1"/>
      <protection hidden="1"/>
    </xf>
    <xf numFmtId="164" fontId="0" fillId="33" borderId="51" xfId="0" applyNumberFormat="1" applyFill="1" applyBorder="1" applyAlignment="1" applyProtection="1">
      <alignment vertical="center"/>
      <protection hidden="1"/>
    </xf>
    <xf numFmtId="164" fontId="0" fillId="33" borderId="50" xfId="0" applyNumberFormat="1" applyFill="1" applyBorder="1" applyAlignment="1" applyProtection="1">
      <alignment vertical="center"/>
      <protection hidden="1"/>
    </xf>
    <xf numFmtId="167" fontId="0" fillId="33" borderId="51" xfId="0" applyNumberFormat="1" applyFill="1" applyBorder="1" applyAlignment="1" applyProtection="1">
      <alignment vertical="center"/>
      <protection hidden="1"/>
    </xf>
    <xf numFmtId="167" fontId="0" fillId="33" borderId="50" xfId="0" applyNumberFormat="1" applyFill="1" applyBorder="1" applyAlignment="1" applyProtection="1">
      <alignment vertical="center"/>
      <protection hidden="1"/>
    </xf>
    <xf numFmtId="0" fontId="0" fillId="33" borderId="51" xfId="0" applyFill="1" applyBorder="1" applyAlignment="1" applyProtection="1">
      <alignment horizontal="right" vertical="center" indent="1"/>
      <protection hidden="1"/>
    </xf>
    <xf numFmtId="0" fontId="0" fillId="33" borderId="50" xfId="0" applyFill="1" applyBorder="1" applyAlignment="1" applyProtection="1">
      <alignment horizontal="right" vertical="center" indent="1"/>
      <protection hidden="1"/>
    </xf>
    <xf numFmtId="172" fontId="0" fillId="33" borderId="51" xfId="0" applyNumberFormat="1" applyFill="1" applyBorder="1" applyAlignment="1" applyProtection="1">
      <alignment vertical="center"/>
      <protection hidden="1"/>
    </xf>
    <xf numFmtId="172" fontId="0" fillId="33" borderId="50" xfId="0" applyNumberFormat="1" applyFill="1" applyBorder="1" applyAlignment="1" applyProtection="1">
      <alignment vertical="center"/>
      <protection hidden="1"/>
    </xf>
    <xf numFmtId="164" fontId="0" fillId="33" borderId="71" xfId="0" applyNumberFormat="1" applyFill="1" applyBorder="1" applyAlignment="1" applyProtection="1">
      <alignment horizontal="right" vertical="center"/>
      <protection hidden="1"/>
    </xf>
    <xf numFmtId="164" fontId="0" fillId="33" borderId="72" xfId="0" applyNumberFormat="1" applyFill="1" applyBorder="1" applyAlignment="1" applyProtection="1">
      <alignment horizontal="right" vertical="center"/>
      <protection hidden="1"/>
    </xf>
    <xf numFmtId="164" fontId="0" fillId="33" borderId="73" xfId="0" applyNumberFormat="1" applyFill="1" applyBorder="1" applyAlignment="1" applyProtection="1">
      <alignment horizontal="right" vertical="center"/>
      <protection hidden="1"/>
    </xf>
    <xf numFmtId="3" fontId="0" fillId="33" borderId="51" xfId="0" applyNumberFormat="1" applyFill="1" applyBorder="1" applyAlignment="1" applyProtection="1">
      <alignment vertical="center"/>
      <protection hidden="1"/>
    </xf>
    <xf numFmtId="3" fontId="0" fillId="33" borderId="50" xfId="0" applyNumberFormat="1" applyFill="1" applyBorder="1" applyAlignment="1" applyProtection="1">
      <alignment vertical="center"/>
      <protection hidden="1"/>
    </xf>
    <xf numFmtId="172" fontId="0" fillId="32" borderId="71" xfId="0" applyNumberFormat="1" applyFill="1" applyBorder="1" applyAlignment="1" applyProtection="1">
      <alignment vertical="center"/>
      <protection hidden="1"/>
    </xf>
    <xf numFmtId="172" fontId="0" fillId="32" borderId="72" xfId="0" applyNumberFormat="1" applyFill="1" applyBorder="1" applyAlignment="1" applyProtection="1">
      <alignment vertical="center"/>
      <protection hidden="1"/>
    </xf>
    <xf numFmtId="172" fontId="0" fillId="32" borderId="73" xfId="0" applyNumberFormat="1" applyFill="1" applyBorder="1" applyAlignment="1" applyProtection="1">
      <alignment vertical="center"/>
      <protection hidden="1"/>
    </xf>
    <xf numFmtId="175" fontId="0" fillId="32" borderId="71" xfId="0" applyNumberFormat="1" applyFill="1" applyBorder="1" applyAlignment="1" applyProtection="1">
      <alignment vertical="center"/>
      <protection hidden="1"/>
    </xf>
    <xf numFmtId="175" fontId="0" fillId="32" borderId="72" xfId="0" applyNumberFormat="1" applyFill="1" applyBorder="1" applyAlignment="1" applyProtection="1">
      <alignment vertical="center"/>
      <protection hidden="1"/>
    </xf>
    <xf numFmtId="166" fontId="0" fillId="32" borderId="71" xfId="0" applyNumberFormat="1" applyFill="1" applyBorder="1" applyAlignment="1" applyProtection="1">
      <alignment vertical="center"/>
      <protection hidden="1"/>
    </xf>
    <xf numFmtId="166" fontId="0" fillId="32" borderId="74" xfId="0" applyNumberFormat="1" applyFill="1" applyBorder="1" applyAlignment="1" applyProtection="1">
      <alignment vertical="center"/>
      <protection hidden="1"/>
    </xf>
    <xf numFmtId="172" fontId="0" fillId="33" borderId="54" xfId="0" applyNumberFormat="1" applyFill="1" applyBorder="1" applyAlignment="1" applyProtection="1">
      <alignment vertical="center"/>
      <protection hidden="1"/>
    </xf>
    <xf numFmtId="0" fontId="12" fillId="9" borderId="23" xfId="0" applyFont="1" applyFill="1" applyBorder="1" applyAlignment="1" applyProtection="1">
      <alignment horizontal="center" vertical="center"/>
      <protection hidden="1"/>
    </xf>
    <xf numFmtId="0" fontId="12" fillId="9" borderId="24" xfId="0" applyFont="1" applyFill="1" applyBorder="1" applyAlignment="1" applyProtection="1">
      <alignment horizontal="center" vertical="center"/>
      <protection hidden="1"/>
    </xf>
    <xf numFmtId="0" fontId="12" fillId="9" borderId="25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12" fillId="9" borderId="2" xfId="0" applyFont="1" applyFill="1" applyBorder="1" applyAlignment="1" applyProtection="1">
      <alignment horizontal="center" vertical="center"/>
      <protection hidden="1"/>
    </xf>
    <xf numFmtId="0" fontId="12" fillId="9" borderId="32" xfId="0" applyFont="1" applyFill="1" applyBorder="1" applyAlignment="1" applyProtection="1">
      <alignment horizontal="center" vertical="center"/>
      <protection hidden="1"/>
    </xf>
    <xf numFmtId="0" fontId="12" fillId="9" borderId="45" xfId="0" applyFont="1" applyFill="1" applyBorder="1" applyAlignment="1" applyProtection="1">
      <alignment horizontal="center" vertical="center"/>
      <protection hidden="1"/>
    </xf>
    <xf numFmtId="0" fontId="12" fillId="9" borderId="44" xfId="0" applyFont="1" applyFill="1" applyBorder="1" applyAlignment="1" applyProtection="1">
      <alignment horizontal="center" vertical="center"/>
      <protection hidden="1"/>
    </xf>
    <xf numFmtId="0" fontId="12" fillId="9" borderId="46" xfId="0" applyFont="1" applyFill="1" applyBorder="1" applyAlignment="1" applyProtection="1">
      <alignment horizontal="center" vertical="center"/>
      <protection hidden="1"/>
    </xf>
    <xf numFmtId="169" fontId="0" fillId="4" borderId="22" xfId="0" applyNumberFormat="1" applyFill="1" applyBorder="1" applyAlignment="1" applyProtection="1">
      <alignment vertical="center"/>
      <protection hidden="1"/>
    </xf>
    <xf numFmtId="169" fontId="0" fillId="4" borderId="28" xfId="0" applyNumberFormat="1" applyFill="1" applyBorder="1" applyAlignment="1" applyProtection="1">
      <alignment vertical="center"/>
      <protection hidden="1"/>
    </xf>
    <xf numFmtId="169" fontId="0" fillId="4" borderId="33" xfId="0" applyNumberFormat="1" applyFill="1" applyBorder="1" applyAlignment="1" applyProtection="1">
      <alignment vertical="center"/>
      <protection hidden="1"/>
    </xf>
    <xf numFmtId="0" fontId="12" fillId="9" borderId="6" xfId="0" applyFont="1" applyFill="1" applyBorder="1" applyAlignment="1" applyProtection="1">
      <alignment horizontal="center" vertical="center"/>
      <protection hidden="1"/>
    </xf>
    <xf numFmtId="0" fontId="12" fillId="9" borderId="17" xfId="0" applyFont="1" applyFill="1" applyBorder="1" applyAlignment="1" applyProtection="1">
      <alignment horizontal="center" vertical="center"/>
      <protection hidden="1"/>
    </xf>
    <xf numFmtId="166" fontId="0" fillId="33" borderId="54" xfId="0" applyNumberFormat="1" applyFill="1" applyBorder="1" applyAlignment="1" applyProtection="1">
      <alignment vertical="center"/>
      <protection hidden="1"/>
    </xf>
    <xf numFmtId="166" fontId="0" fillId="33" borderId="55" xfId="0" applyNumberFormat="1" applyFill="1" applyBorder="1" applyAlignment="1" applyProtection="1">
      <alignment vertical="center"/>
      <protection hidden="1"/>
    </xf>
    <xf numFmtId="0" fontId="11" fillId="3" borderId="30" xfId="0" applyFont="1" applyFill="1" applyBorder="1" applyAlignment="1" applyProtection="1">
      <alignment horizontal="left" vertical="center" indent="1"/>
      <protection hidden="1"/>
    </xf>
    <xf numFmtId="0" fontId="11" fillId="3" borderId="10" xfId="0" applyFont="1" applyFill="1" applyBorder="1" applyAlignment="1" applyProtection="1">
      <alignment horizontal="left" vertical="center" indent="1"/>
      <protection hidden="1"/>
    </xf>
    <xf numFmtId="0" fontId="11" fillId="3" borderId="11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 applyProtection="1">
      <alignment horizontal="left" vertical="center" indent="1"/>
      <protection hidden="1"/>
    </xf>
    <xf numFmtId="0" fontId="3" fillId="3" borderId="11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0" fontId="23" fillId="24" borderId="10" xfId="0" applyFont="1" applyFill="1" applyBorder="1" applyAlignment="1" applyProtection="1">
      <alignment horizontal="left" vertical="center"/>
      <protection hidden="1"/>
    </xf>
    <xf numFmtId="0" fontId="23" fillId="24" borderId="0" xfId="0" applyFont="1" applyFill="1" applyAlignment="1" applyProtection="1">
      <alignment horizontal="left" vertical="center"/>
      <protection hidden="1"/>
    </xf>
    <xf numFmtId="0" fontId="31" fillId="9" borderId="61" xfId="0" applyFont="1" applyFill="1" applyBorder="1" applyAlignment="1" applyProtection="1">
      <alignment horizontal="center" vertical="center"/>
      <protection hidden="1"/>
    </xf>
    <xf numFmtId="0" fontId="31" fillId="9" borderId="62" xfId="0" applyFont="1" applyFill="1" applyBorder="1" applyAlignment="1" applyProtection="1">
      <alignment horizontal="center" vertical="center"/>
      <protection hidden="1"/>
    </xf>
    <xf numFmtId="0" fontId="46" fillId="65" borderId="1" xfId="0" applyFont="1" applyFill="1" applyBorder="1" applyAlignment="1" applyProtection="1">
      <alignment horizontal="left" indent="1" shrinkToFit="1"/>
      <protection hidden="1"/>
    </xf>
    <xf numFmtId="0" fontId="46" fillId="65" borderId="2" xfId="0" applyFont="1" applyFill="1" applyBorder="1" applyAlignment="1" applyProtection="1">
      <alignment horizontal="left" indent="1" shrinkToFit="1"/>
      <protection hidden="1"/>
    </xf>
    <xf numFmtId="0" fontId="46" fillId="65" borderId="98" xfId="0" applyFont="1" applyFill="1" applyBorder="1" applyAlignment="1" applyProtection="1">
      <alignment horizontal="left" indent="1" shrinkToFit="1"/>
      <protection hidden="1"/>
    </xf>
    <xf numFmtId="0" fontId="46" fillId="65" borderId="4" xfId="0" applyFont="1" applyFill="1" applyBorder="1" applyAlignment="1" applyProtection="1">
      <alignment horizontal="left" vertical="center" indent="1" shrinkToFit="1"/>
      <protection hidden="1"/>
    </xf>
    <xf numFmtId="0" fontId="46" fillId="65" borderId="0" xfId="0" applyFont="1" applyFill="1" applyAlignment="1" applyProtection="1">
      <alignment horizontal="left" vertical="center" indent="1" shrinkToFit="1"/>
      <protection hidden="1"/>
    </xf>
    <xf numFmtId="0" fontId="46" fillId="65" borderId="99" xfId="0" applyFont="1" applyFill="1" applyBorder="1" applyAlignment="1" applyProtection="1">
      <alignment horizontal="left" vertical="center" indent="1" shrinkToFit="1"/>
      <protection hidden="1"/>
    </xf>
    <xf numFmtId="0" fontId="46" fillId="65" borderId="100" xfId="0" applyFont="1" applyFill="1" applyBorder="1" applyAlignment="1" applyProtection="1">
      <alignment horizontal="left" vertical="top" indent="1" shrinkToFit="1"/>
      <protection hidden="1"/>
    </xf>
    <xf numFmtId="0" fontId="46" fillId="65" borderId="101" xfId="0" applyFont="1" applyFill="1" applyBorder="1" applyAlignment="1" applyProtection="1">
      <alignment horizontal="left" vertical="top" indent="1" shrinkToFit="1"/>
      <protection hidden="1"/>
    </xf>
    <xf numFmtId="0" fontId="46" fillId="65" borderId="102" xfId="0" applyFont="1" applyFill="1" applyBorder="1" applyAlignment="1" applyProtection="1">
      <alignment horizontal="left" vertical="top" indent="1" shrinkToFit="1"/>
      <protection hidden="1"/>
    </xf>
    <xf numFmtId="164" fontId="0" fillId="33" borderId="8" xfId="0" applyNumberFormat="1" applyFill="1" applyBorder="1" applyAlignment="1" applyProtection="1">
      <alignment vertical="center"/>
      <protection hidden="1"/>
    </xf>
    <xf numFmtId="0" fontId="23" fillId="66" borderId="1" xfId="0" applyFont="1" applyFill="1" applyBorder="1" applyAlignment="1" applyProtection="1">
      <alignment horizontal="right" vertical="center"/>
      <protection hidden="1"/>
    </xf>
    <xf numFmtId="0" fontId="23" fillId="66" borderId="2" xfId="0" applyFont="1" applyFill="1" applyBorder="1" applyAlignment="1" applyProtection="1">
      <alignment horizontal="right" vertical="center"/>
      <protection hidden="1"/>
    </xf>
    <xf numFmtId="0" fontId="23" fillId="66" borderId="3" xfId="0" applyFont="1" applyFill="1" applyBorder="1" applyAlignment="1" applyProtection="1">
      <alignment horizontal="right" vertical="center"/>
      <protection hidden="1"/>
    </xf>
    <xf numFmtId="0" fontId="23" fillId="66" borderId="26" xfId="0" applyFont="1" applyFill="1" applyBorder="1" applyAlignment="1" applyProtection="1">
      <alignment horizontal="right" vertical="center"/>
      <protection hidden="1"/>
    </xf>
    <xf numFmtId="0" fontId="23" fillId="66" borderId="9" xfId="0" applyFont="1" applyFill="1" applyBorder="1" applyAlignment="1" applyProtection="1">
      <alignment horizontal="right" vertical="center"/>
      <protection hidden="1"/>
    </xf>
    <xf numFmtId="0" fontId="23" fillId="66" borderId="92" xfId="0" applyFont="1" applyFill="1" applyBorder="1" applyAlignment="1" applyProtection="1">
      <alignment horizontal="right" vertical="center"/>
      <protection hidden="1"/>
    </xf>
    <xf numFmtId="0" fontId="11" fillId="53" borderId="8" xfId="0" applyFont="1" applyFill="1" applyBorder="1" applyAlignment="1" applyProtection="1">
      <alignment horizontal="right" vertical="center"/>
      <protection hidden="1"/>
    </xf>
    <xf numFmtId="164" fontId="0" fillId="33" borderId="28" xfId="0" applyNumberFormat="1" applyFill="1" applyBorder="1" applyAlignment="1" applyProtection="1">
      <alignment vertical="center"/>
      <protection hidden="1"/>
    </xf>
    <xf numFmtId="164" fontId="0" fillId="33" borderId="29" xfId="0" applyNumberFormat="1" applyFill="1" applyBorder="1" applyAlignment="1" applyProtection="1">
      <alignment vertical="center"/>
      <protection hidden="1"/>
    </xf>
    <xf numFmtId="0" fontId="51" fillId="57" borderId="104" xfId="0" applyFont="1" applyFill="1" applyBorder="1" applyAlignment="1" applyProtection="1">
      <alignment horizontal="center" vertical="center"/>
      <protection hidden="1"/>
    </xf>
    <xf numFmtId="0" fontId="51" fillId="57" borderId="0" xfId="0" applyFont="1" applyFill="1" applyAlignment="1" applyProtection="1">
      <alignment horizontal="center" vertical="center"/>
      <protection hidden="1"/>
    </xf>
    <xf numFmtId="0" fontId="51" fillId="57" borderId="9" xfId="0" applyFont="1" applyFill="1" applyBorder="1" applyAlignment="1" applyProtection="1">
      <alignment horizontal="center" vertical="center"/>
      <protection hidden="1"/>
    </xf>
    <xf numFmtId="164" fontId="3" fillId="33" borderId="8" xfId="0" applyNumberFormat="1" applyFont="1" applyFill="1" applyBorder="1" applyAlignment="1" applyProtection="1">
      <alignment vertical="center"/>
      <protection hidden="1"/>
    </xf>
    <xf numFmtId="164" fontId="0" fillId="30" borderId="58" xfId="0" applyNumberFormat="1" applyFill="1" applyBorder="1" applyAlignment="1" applyProtection="1">
      <alignment vertical="center"/>
      <protection locked="0"/>
    </xf>
    <xf numFmtId="164" fontId="0" fillId="30" borderId="59" xfId="0" applyNumberFormat="1" applyFill="1" applyBorder="1" applyAlignment="1" applyProtection="1">
      <alignment vertical="center"/>
      <protection locked="0"/>
    </xf>
    <xf numFmtId="164" fontId="0" fillId="30" borderId="60" xfId="0" applyNumberFormat="1" applyFill="1" applyBorder="1" applyAlignment="1" applyProtection="1">
      <alignment vertical="center"/>
      <protection locked="0"/>
    </xf>
    <xf numFmtId="164" fontId="43" fillId="32" borderId="8" xfId="0" applyNumberFormat="1" applyFont="1" applyFill="1" applyBorder="1" applyAlignment="1" applyProtection="1">
      <alignment vertical="center"/>
      <protection hidden="1"/>
    </xf>
    <xf numFmtId="0" fontId="12" fillId="9" borderId="41" xfId="0" applyFont="1" applyFill="1" applyBorder="1" applyAlignment="1" applyProtection="1">
      <alignment horizontal="center" vertical="center"/>
      <protection hidden="1"/>
    </xf>
    <xf numFmtId="0" fontId="12" fillId="9" borderId="47" xfId="0" applyFont="1" applyFill="1" applyBorder="1" applyAlignment="1" applyProtection="1">
      <alignment horizontal="center" vertical="center"/>
      <protection hidden="1"/>
    </xf>
    <xf numFmtId="0" fontId="12" fillId="9" borderId="43" xfId="0" applyFont="1" applyFill="1" applyBorder="1" applyAlignment="1" applyProtection="1">
      <alignment horizontal="center" vertical="center"/>
      <protection hidden="1"/>
    </xf>
    <xf numFmtId="0" fontId="12" fillId="9" borderId="19" xfId="0" applyFont="1" applyFill="1" applyBorder="1" applyAlignment="1" applyProtection="1">
      <alignment horizontal="center" vertical="center"/>
      <protection hidden="1"/>
    </xf>
    <xf numFmtId="0" fontId="12" fillId="9" borderId="48" xfId="0" applyFont="1" applyFill="1" applyBorder="1" applyAlignment="1" applyProtection="1">
      <alignment horizontal="center" vertical="center"/>
      <protection hidden="1"/>
    </xf>
    <xf numFmtId="169" fontId="0" fillId="32" borderId="22" xfId="0" applyNumberFormat="1" applyFill="1" applyBorder="1" applyAlignment="1" applyProtection="1">
      <alignment vertical="center"/>
      <protection hidden="1"/>
    </xf>
    <xf numFmtId="169" fontId="0" fillId="32" borderId="28" xfId="0" applyNumberFormat="1" applyFill="1" applyBorder="1" applyAlignment="1" applyProtection="1">
      <alignment vertical="center"/>
      <protection hidden="1"/>
    </xf>
    <xf numFmtId="169" fontId="0" fillId="32" borderId="33" xfId="0" applyNumberFormat="1" applyFill="1" applyBorder="1" applyAlignment="1" applyProtection="1">
      <alignment vertical="center"/>
      <protection hidden="1"/>
    </xf>
    <xf numFmtId="0" fontId="11" fillId="3" borderId="30" xfId="0" applyFont="1" applyFill="1" applyBorder="1" applyAlignment="1" applyProtection="1">
      <alignment horizontal="left" vertical="center" wrapText="1" indent="1"/>
      <protection hidden="1"/>
    </xf>
    <xf numFmtId="0" fontId="11" fillId="3" borderId="10" xfId="0" applyFont="1" applyFill="1" applyBorder="1" applyAlignment="1" applyProtection="1">
      <alignment horizontal="left" vertical="center" wrapText="1" indent="1"/>
      <protection hidden="1"/>
    </xf>
    <xf numFmtId="0" fontId="11" fillId="3" borderId="11" xfId="0" applyFont="1" applyFill="1" applyBorder="1" applyAlignment="1" applyProtection="1">
      <alignment horizontal="left" vertical="center" wrapText="1" indent="1"/>
      <protection hidden="1"/>
    </xf>
    <xf numFmtId="0" fontId="11" fillId="3" borderId="0" xfId="0" applyFont="1" applyFill="1" applyAlignment="1" applyProtection="1">
      <alignment horizontal="left" vertical="center" wrapText="1" indent="1"/>
      <protection hidden="1"/>
    </xf>
    <xf numFmtId="0" fontId="0" fillId="3" borderId="11" xfId="0" applyFill="1" applyBorder="1" applyAlignment="1" applyProtection="1">
      <alignment horizontal="left" vertical="center" indent="1"/>
      <protection hidden="1"/>
    </xf>
    <xf numFmtId="0" fontId="0" fillId="3" borderId="0" xfId="0" applyFill="1" applyAlignment="1" applyProtection="1">
      <alignment horizontal="left" vertical="center" indent="1"/>
      <protection hidden="1"/>
    </xf>
    <xf numFmtId="0" fontId="0" fillId="3" borderId="31" xfId="0" applyFill="1" applyBorder="1" applyAlignment="1" applyProtection="1">
      <alignment horizontal="left" vertical="center" indent="1"/>
      <protection hidden="1"/>
    </xf>
    <xf numFmtId="0" fontId="0" fillId="3" borderId="18" xfId="0" applyFill="1" applyBorder="1" applyAlignment="1" applyProtection="1">
      <alignment horizontal="left" vertical="center" indent="1"/>
      <protection hidden="1"/>
    </xf>
    <xf numFmtId="172" fontId="0" fillId="33" borderId="55" xfId="0" applyNumberFormat="1" applyFill="1" applyBorder="1" applyAlignment="1" applyProtection="1">
      <alignment vertical="center"/>
      <protection hidden="1"/>
    </xf>
    <xf numFmtId="0" fontId="12" fillId="9" borderId="49" xfId="0" applyFont="1" applyFill="1" applyBorder="1" applyAlignment="1" applyProtection="1">
      <alignment horizontal="center" vertical="center"/>
      <protection hidden="1"/>
    </xf>
    <xf numFmtId="0" fontId="12" fillId="9" borderId="28" xfId="0" applyFont="1" applyFill="1" applyBorder="1" applyAlignment="1" applyProtection="1">
      <alignment horizontal="center" vertical="center"/>
      <protection hidden="1"/>
    </xf>
    <xf numFmtId="0" fontId="12" fillId="9" borderId="29" xfId="0" applyFont="1" applyFill="1" applyBorder="1" applyAlignment="1" applyProtection="1">
      <alignment horizontal="center" vertical="center"/>
      <protection hidden="1"/>
    </xf>
    <xf numFmtId="0" fontId="12" fillId="9" borderId="39" xfId="0" applyFont="1" applyFill="1" applyBorder="1" applyAlignment="1" applyProtection="1">
      <alignment horizontal="center" vertical="center"/>
      <protection hidden="1"/>
    </xf>
    <xf numFmtId="0" fontId="12" fillId="9" borderId="34" xfId="0" applyFont="1" applyFill="1" applyBorder="1" applyAlignment="1" applyProtection="1">
      <alignment horizontal="center" vertical="center"/>
      <protection hidden="1"/>
    </xf>
    <xf numFmtId="0" fontId="12" fillId="9" borderId="40" xfId="0" applyFont="1" applyFill="1" applyBorder="1" applyAlignment="1" applyProtection="1">
      <alignment horizontal="center" vertical="center"/>
      <protection hidden="1"/>
    </xf>
    <xf numFmtId="169" fontId="0" fillId="32" borderId="13" xfId="0" applyNumberFormat="1" applyFill="1" applyBorder="1" applyAlignment="1" applyProtection="1">
      <alignment vertical="center"/>
      <protection hidden="1"/>
    </xf>
    <xf numFmtId="169" fontId="0" fillId="32" borderId="8" xfId="0" applyNumberFormat="1" applyFill="1" applyBorder="1" applyAlignment="1" applyProtection="1">
      <alignment vertical="center"/>
      <protection hidden="1"/>
    </xf>
    <xf numFmtId="169" fontId="0" fillId="4" borderId="8" xfId="0" applyNumberFormat="1" applyFill="1" applyBorder="1" applyAlignment="1" applyProtection="1">
      <alignment vertical="center"/>
      <protection hidden="1"/>
    </xf>
    <xf numFmtId="169" fontId="0" fillId="4" borderId="27" xfId="0" applyNumberFormat="1" applyFill="1" applyBorder="1" applyAlignment="1" applyProtection="1">
      <alignment vertical="center"/>
      <protection hidden="1"/>
    </xf>
    <xf numFmtId="169" fontId="0" fillId="4" borderId="34" xfId="0" applyNumberFormat="1" applyFill="1" applyBorder="1" applyAlignment="1" applyProtection="1">
      <alignment vertical="center"/>
      <protection hidden="1"/>
    </xf>
    <xf numFmtId="169" fontId="0" fillId="4" borderId="35" xfId="0" applyNumberFormat="1" applyFill="1" applyBorder="1" applyAlignment="1" applyProtection="1">
      <alignment vertical="center"/>
      <protection hidden="1"/>
    </xf>
    <xf numFmtId="0" fontId="12" fillId="9" borderId="36" xfId="0" applyFont="1" applyFill="1" applyBorder="1" applyAlignment="1" applyProtection="1">
      <alignment horizontal="center" vertical="center"/>
      <protection hidden="1"/>
    </xf>
    <xf numFmtId="0" fontId="12" fillId="9" borderId="37" xfId="0" applyFont="1" applyFill="1" applyBorder="1" applyAlignment="1" applyProtection="1">
      <alignment horizontal="center" vertical="center"/>
      <protection hidden="1"/>
    </xf>
    <xf numFmtId="0" fontId="12" fillId="9" borderId="38" xfId="0" applyFont="1" applyFill="1" applyBorder="1" applyAlignment="1" applyProtection="1">
      <alignment horizontal="center" vertical="center"/>
      <protection hidden="1"/>
    </xf>
    <xf numFmtId="174" fontId="0" fillId="33" borderId="51" xfId="0" applyNumberFormat="1" applyFill="1" applyBorder="1" applyAlignment="1" applyProtection="1">
      <alignment vertical="center"/>
      <protection hidden="1"/>
    </xf>
    <xf numFmtId="174" fontId="0" fillId="33" borderId="50" xfId="0" applyNumberFormat="1" applyFill="1" applyBorder="1" applyAlignment="1" applyProtection="1">
      <alignment vertical="center"/>
      <protection hidden="1"/>
    </xf>
    <xf numFmtId="169" fontId="0" fillId="32" borderId="12" xfId="0" applyNumberFormat="1" applyFill="1" applyBorder="1" applyAlignment="1" applyProtection="1">
      <alignment vertical="center"/>
      <protection hidden="1"/>
    </xf>
    <xf numFmtId="169" fontId="0" fillId="32" borderId="6" xfId="0" applyNumberFormat="1" applyFill="1" applyBorder="1" applyAlignment="1" applyProtection="1">
      <alignment vertical="center"/>
      <protection hidden="1"/>
    </xf>
    <xf numFmtId="169" fontId="0" fillId="32" borderId="29" xfId="0" applyNumberFormat="1" applyFill="1" applyBorder="1" applyAlignment="1" applyProtection="1">
      <alignment vertical="center"/>
      <protection hidden="1"/>
    </xf>
    <xf numFmtId="169" fontId="0" fillId="32" borderId="27" xfId="0" applyNumberFormat="1" applyFill="1" applyBorder="1" applyAlignment="1" applyProtection="1">
      <alignment vertical="center"/>
      <protection hidden="1"/>
    </xf>
    <xf numFmtId="169" fontId="0" fillId="32" borderId="34" xfId="0" applyNumberFormat="1" applyFill="1" applyBorder="1" applyAlignment="1" applyProtection="1">
      <alignment vertical="center"/>
      <protection hidden="1"/>
    </xf>
    <xf numFmtId="169" fontId="0" fillId="32" borderId="35" xfId="0" applyNumberFormat="1" applyFill="1" applyBorder="1" applyAlignment="1" applyProtection="1">
      <alignment vertical="center"/>
      <protection hidden="1"/>
    </xf>
    <xf numFmtId="169" fontId="0" fillId="32" borderId="17" xfId="0" applyNumberFormat="1" applyFill="1" applyBorder="1" applyAlignment="1" applyProtection="1">
      <alignment vertical="center"/>
      <protection hidden="1"/>
    </xf>
    <xf numFmtId="169" fontId="0" fillId="4" borderId="14" xfId="0" applyNumberFormat="1" applyFill="1" applyBorder="1" applyAlignment="1" applyProtection="1">
      <alignment vertical="center"/>
      <protection hidden="1"/>
    </xf>
    <xf numFmtId="169" fontId="0" fillId="4" borderId="6" xfId="0" applyNumberFormat="1" applyFill="1" applyBorder="1" applyAlignment="1" applyProtection="1">
      <alignment vertical="center"/>
      <protection hidden="1"/>
    </xf>
    <xf numFmtId="169" fontId="0" fillId="4" borderId="24" xfId="0" applyNumberFormat="1" applyFill="1" applyBorder="1" applyAlignment="1" applyProtection="1">
      <alignment vertical="center"/>
      <protection hidden="1"/>
    </xf>
    <xf numFmtId="169" fontId="0" fillId="4" borderId="25" xfId="0" applyNumberFormat="1" applyFill="1" applyBorder="1" applyAlignment="1" applyProtection="1">
      <alignment vertical="center"/>
      <protection hidden="1"/>
    </xf>
    <xf numFmtId="169" fontId="0" fillId="32" borderId="14" xfId="0" applyNumberFormat="1" applyFill="1" applyBorder="1" applyAlignment="1" applyProtection="1">
      <alignment vertical="center"/>
      <protection hidden="1"/>
    </xf>
    <xf numFmtId="169" fontId="0" fillId="32" borderId="23" xfId="0" applyNumberFormat="1" applyFill="1" applyBorder="1" applyAlignment="1" applyProtection="1">
      <alignment vertical="center"/>
      <protection hidden="1"/>
    </xf>
    <xf numFmtId="169" fontId="0" fillId="32" borderId="24" xfId="0" applyNumberFormat="1" applyFill="1" applyBorder="1" applyAlignment="1" applyProtection="1">
      <alignment vertical="center"/>
      <protection hidden="1"/>
    </xf>
    <xf numFmtId="0" fontId="12" fillId="9" borderId="42" xfId="0" applyFont="1" applyFill="1" applyBorder="1" applyAlignment="1" applyProtection="1">
      <alignment horizontal="center" vertical="center"/>
      <protection hidden="1"/>
    </xf>
    <xf numFmtId="0" fontId="0" fillId="8" borderId="61" xfId="0" applyFill="1" applyBorder="1" applyAlignment="1" applyProtection="1">
      <alignment horizontal="right" vertical="center" indent="1"/>
      <protection hidden="1"/>
    </xf>
    <xf numFmtId="0" fontId="0" fillId="8" borderId="62" xfId="0" applyFill="1" applyBorder="1" applyAlignment="1" applyProtection="1">
      <alignment horizontal="right" vertical="center" indent="1"/>
      <protection hidden="1"/>
    </xf>
    <xf numFmtId="0" fontId="0" fillId="8" borderId="63" xfId="0" applyFill="1" applyBorder="1" applyAlignment="1" applyProtection="1">
      <alignment horizontal="right" vertical="center" indent="1"/>
      <protection hidden="1"/>
    </xf>
    <xf numFmtId="0" fontId="31" fillId="11" borderId="64" xfId="0" applyFont="1" applyFill="1" applyBorder="1" applyAlignment="1" applyProtection="1">
      <alignment horizontal="center" vertical="center"/>
      <protection hidden="1"/>
    </xf>
    <xf numFmtId="0" fontId="31" fillId="11" borderId="65" xfId="0" applyFont="1" applyFill="1" applyBorder="1" applyAlignment="1" applyProtection="1">
      <alignment horizontal="center" vertical="center"/>
      <protection hidden="1"/>
    </xf>
    <xf numFmtId="0" fontId="31" fillId="9" borderId="66" xfId="0" applyFont="1" applyFill="1" applyBorder="1" applyAlignment="1" applyProtection="1">
      <alignment horizontal="center" vertical="center"/>
      <protection hidden="1"/>
    </xf>
    <xf numFmtId="0" fontId="31" fillId="9" borderId="67" xfId="0" applyFont="1" applyFill="1" applyBorder="1" applyAlignment="1" applyProtection="1">
      <alignment horizontal="center" vertical="center"/>
      <protection hidden="1"/>
    </xf>
    <xf numFmtId="0" fontId="31" fillId="9" borderId="69" xfId="0" applyFont="1" applyFill="1" applyBorder="1" applyAlignment="1" applyProtection="1">
      <alignment horizontal="center" vertical="center"/>
      <protection hidden="1"/>
    </xf>
    <xf numFmtId="0" fontId="31" fillId="9" borderId="70" xfId="0" applyFont="1" applyFill="1" applyBorder="1" applyAlignment="1" applyProtection="1">
      <alignment horizontal="center" vertical="center"/>
      <protection hidden="1"/>
    </xf>
    <xf numFmtId="0" fontId="12" fillId="9" borderId="20" xfId="0" applyFont="1" applyFill="1" applyBorder="1" applyAlignment="1" applyProtection="1">
      <alignment horizontal="center" vertical="center"/>
      <protection hidden="1"/>
    </xf>
    <xf numFmtId="0" fontId="31" fillId="9" borderId="93" xfId="0" applyFont="1" applyFill="1" applyBorder="1" applyAlignment="1" applyProtection="1">
      <alignment horizontal="center" vertical="center"/>
      <protection hidden="1"/>
    </xf>
    <xf numFmtId="175" fontId="0" fillId="32" borderId="94" xfId="0" applyNumberFormat="1" applyFill="1" applyBorder="1" applyAlignment="1" applyProtection="1">
      <alignment vertical="center"/>
      <protection hidden="1"/>
    </xf>
    <xf numFmtId="175" fontId="0" fillId="32" borderId="95" xfId="0" applyNumberFormat="1" applyFill="1" applyBorder="1" applyAlignment="1" applyProtection="1">
      <alignment vertical="center"/>
      <protection hidden="1"/>
    </xf>
    <xf numFmtId="0" fontId="32" fillId="56" borderId="105" xfId="0" applyFont="1" applyFill="1" applyBorder="1" applyAlignment="1" applyProtection="1">
      <alignment horizontal="left" vertical="center"/>
      <protection hidden="1"/>
    </xf>
    <xf numFmtId="0" fontId="32" fillId="56" borderId="0" xfId="0" applyFont="1" applyFill="1" applyAlignment="1" applyProtection="1">
      <alignment horizontal="left" vertical="center"/>
      <protection hidden="1"/>
    </xf>
    <xf numFmtId="166" fontId="30" fillId="10" borderId="56" xfId="0" applyNumberFormat="1" applyFont="1" applyFill="1" applyBorder="1" applyAlignment="1" applyProtection="1">
      <alignment vertical="center"/>
      <protection hidden="1"/>
    </xf>
    <xf numFmtId="166" fontId="30" fillId="10" borderId="57" xfId="0" applyNumberFormat="1" applyFont="1" applyFill="1" applyBorder="1" applyAlignment="1" applyProtection="1">
      <alignment vertical="center"/>
      <protection hidden="1"/>
    </xf>
    <xf numFmtId="168" fontId="30" fillId="68" borderId="56" xfId="0" applyNumberFormat="1" applyFont="1" applyFill="1" applyBorder="1" applyAlignment="1" applyProtection="1">
      <alignment vertical="center"/>
      <protection hidden="1"/>
    </xf>
    <xf numFmtId="168" fontId="30" fillId="68" borderId="57" xfId="0" applyNumberFormat="1" applyFont="1" applyFill="1" applyBorder="1" applyAlignment="1" applyProtection="1">
      <alignment vertical="center"/>
      <protection hidden="1"/>
    </xf>
    <xf numFmtId="0" fontId="47" fillId="57" borderId="0" xfId="0" applyFont="1" applyFill="1" applyAlignment="1" applyProtection="1">
      <alignment horizontal="left" vertical="center"/>
      <protection hidden="1"/>
    </xf>
    <xf numFmtId="165" fontId="0" fillId="30" borderId="58" xfId="0" applyNumberFormat="1" applyFill="1" applyBorder="1" applyAlignment="1" applyProtection="1">
      <alignment vertical="center"/>
      <protection locked="0"/>
    </xf>
    <xf numFmtId="165" fontId="0" fillId="30" borderId="59" xfId="0" applyNumberFormat="1" applyFill="1" applyBorder="1" applyAlignment="1" applyProtection="1">
      <alignment vertical="center"/>
      <protection locked="0"/>
    </xf>
    <xf numFmtId="165" fontId="0" fillId="30" borderId="60" xfId="0" applyNumberFormat="1" applyFill="1" applyBorder="1" applyAlignment="1" applyProtection="1">
      <alignment vertical="center"/>
      <protection locked="0"/>
    </xf>
    <xf numFmtId="0" fontId="0" fillId="36" borderId="58" xfId="0" applyFill="1" applyBorder="1" applyAlignment="1" applyProtection="1">
      <alignment horizontal="left" vertical="center" indent="1"/>
      <protection locked="0"/>
    </xf>
    <xf numFmtId="0" fontId="0" fillId="36" borderId="59" xfId="0" applyFill="1" applyBorder="1" applyAlignment="1" applyProtection="1">
      <alignment horizontal="left" vertical="center" indent="1"/>
      <protection locked="0"/>
    </xf>
    <xf numFmtId="0" fontId="0" fillId="36" borderId="60" xfId="0" applyFill="1" applyBorder="1" applyAlignment="1" applyProtection="1">
      <alignment horizontal="left" vertical="center" indent="1"/>
      <protection locked="0"/>
    </xf>
    <xf numFmtId="0" fontId="0" fillId="30" borderId="58" xfId="0" applyFill="1" applyBorder="1" applyAlignment="1" applyProtection="1">
      <alignment horizontal="left" vertical="center" indent="1"/>
      <protection locked="0"/>
    </xf>
    <xf numFmtId="0" fontId="0" fillId="30" borderId="59" xfId="0" applyFill="1" applyBorder="1" applyAlignment="1" applyProtection="1">
      <alignment horizontal="left" vertical="center" indent="1"/>
      <protection locked="0"/>
    </xf>
    <xf numFmtId="0" fontId="0" fillId="30" borderId="60" xfId="0" applyFill="1" applyBorder="1" applyAlignment="1" applyProtection="1">
      <alignment horizontal="left" vertical="center" indent="1"/>
      <protection locked="0"/>
    </xf>
    <xf numFmtId="172" fontId="0" fillId="30" borderId="58" xfId="0" applyNumberFormat="1" applyFill="1" applyBorder="1" applyAlignment="1" applyProtection="1">
      <alignment vertical="center"/>
      <protection locked="0"/>
    </xf>
    <xf numFmtId="172" fontId="0" fillId="30" borderId="59" xfId="0" applyNumberFormat="1" applyFill="1" applyBorder="1" applyAlignment="1" applyProtection="1">
      <alignment vertical="center"/>
      <protection locked="0"/>
    </xf>
    <xf numFmtId="172" fontId="0" fillId="30" borderId="60" xfId="0" applyNumberFormat="1" applyFill="1" applyBorder="1" applyAlignment="1" applyProtection="1">
      <alignment vertical="center"/>
      <protection locked="0"/>
    </xf>
    <xf numFmtId="172" fontId="0" fillId="30" borderId="86" xfId="0" applyNumberFormat="1" applyFill="1" applyBorder="1" applyAlignment="1" applyProtection="1">
      <alignment vertical="center"/>
      <protection locked="0"/>
    </xf>
    <xf numFmtId="172" fontId="0" fillId="30" borderId="87" xfId="0" applyNumberFormat="1" applyFill="1" applyBorder="1" applyAlignment="1" applyProtection="1">
      <alignment vertical="center"/>
      <protection locked="0"/>
    </xf>
    <xf numFmtId="169" fontId="30" fillId="56" borderId="106" xfId="0" applyNumberFormat="1" applyFont="1" applyFill="1" applyBorder="1" applyAlignment="1" applyProtection="1">
      <alignment vertical="center"/>
      <protection hidden="1"/>
    </xf>
    <xf numFmtId="169" fontId="30" fillId="56" borderId="107" xfId="0" applyNumberFormat="1" applyFont="1" applyFill="1" applyBorder="1" applyAlignment="1" applyProtection="1">
      <alignment vertical="center"/>
      <protection hidden="1"/>
    </xf>
    <xf numFmtId="169" fontId="30" fillId="56" borderId="108" xfId="0" applyNumberFormat="1" applyFont="1" applyFill="1" applyBorder="1" applyAlignment="1" applyProtection="1">
      <alignment vertical="center"/>
      <protection hidden="1"/>
    </xf>
    <xf numFmtId="0" fontId="47" fillId="57" borderId="0" xfId="0" applyFont="1" applyFill="1" applyAlignment="1" applyProtection="1">
      <alignment horizontal="right" vertical="center"/>
      <protection hidden="1"/>
    </xf>
    <xf numFmtId="0" fontId="47" fillId="57" borderId="9" xfId="0" applyFont="1" applyFill="1" applyBorder="1" applyAlignment="1" applyProtection="1">
      <alignment horizontal="right" vertical="center"/>
      <protection hidden="1"/>
    </xf>
    <xf numFmtId="0" fontId="31" fillId="9" borderId="64" xfId="0" applyFont="1" applyFill="1" applyBorder="1" applyAlignment="1" applyProtection="1">
      <alignment horizontal="center" vertical="center"/>
      <protection hidden="1"/>
    </xf>
    <xf numFmtId="0" fontId="31" fillId="9" borderId="65" xfId="0" applyFont="1" applyFill="1" applyBorder="1" applyAlignment="1" applyProtection="1">
      <alignment horizontal="center" vertical="center"/>
      <protection hidden="1"/>
    </xf>
    <xf numFmtId="172" fontId="0" fillId="32" borderId="54" xfId="0" applyNumberFormat="1" applyFill="1" applyBorder="1" applyAlignment="1" applyProtection="1">
      <alignment vertical="center"/>
      <protection hidden="1"/>
    </xf>
    <xf numFmtId="166" fontId="0" fillId="33" borderId="52" xfId="0" applyNumberFormat="1" applyFill="1" applyBorder="1" applyAlignment="1" applyProtection="1">
      <alignment vertical="center"/>
      <protection hidden="1"/>
    </xf>
    <xf numFmtId="166" fontId="0" fillId="33" borderId="53" xfId="0" applyNumberFormat="1" applyFill="1" applyBorder="1" applyAlignment="1" applyProtection="1">
      <alignment vertical="center"/>
      <protection hidden="1"/>
    </xf>
    <xf numFmtId="166" fontId="0" fillId="32" borderId="54" xfId="0" applyNumberFormat="1" applyFill="1" applyBorder="1" applyAlignment="1" applyProtection="1">
      <alignment vertical="center"/>
      <protection hidden="1"/>
    </xf>
    <xf numFmtId="166" fontId="0" fillId="32" borderId="55" xfId="0" applyNumberFormat="1" applyFill="1" applyBorder="1" applyAlignment="1" applyProtection="1">
      <alignment vertical="center"/>
      <protection hidden="1"/>
    </xf>
    <xf numFmtId="0" fontId="12" fillId="9" borderId="119" xfId="0" applyFont="1" applyFill="1" applyBorder="1" applyAlignment="1" applyProtection="1">
      <alignment horizontal="center" vertical="center"/>
      <protection hidden="1"/>
    </xf>
    <xf numFmtId="0" fontId="12" fillId="9" borderId="121" xfId="0" applyFont="1" applyFill="1" applyBorder="1" applyAlignment="1" applyProtection="1">
      <alignment horizontal="center" vertical="center"/>
      <protection hidden="1"/>
    </xf>
    <xf numFmtId="0" fontId="12" fillId="9" borderId="122" xfId="0" applyFont="1" applyFill="1" applyBorder="1" applyAlignment="1" applyProtection="1">
      <alignment horizontal="center" vertical="center"/>
      <protection hidden="1"/>
    </xf>
    <xf numFmtId="0" fontId="12" fillId="9" borderId="123" xfId="0" applyFont="1" applyFill="1" applyBorder="1" applyAlignment="1" applyProtection="1">
      <alignment horizontal="center" vertical="center"/>
      <protection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center" wrapText="1"/>
      <protection hidden="1"/>
    </xf>
    <xf numFmtId="14" fontId="0" fillId="33" borderId="51" xfId="0" applyNumberFormat="1" applyFill="1" applyBorder="1" applyAlignment="1" applyProtection="1">
      <alignment vertical="center"/>
      <protection hidden="1"/>
    </xf>
    <xf numFmtId="14" fontId="0" fillId="33" borderId="50" xfId="0" applyNumberFormat="1" applyFill="1" applyBorder="1" applyAlignment="1" applyProtection="1">
      <alignment vertical="center"/>
      <protection hidden="1"/>
    </xf>
    <xf numFmtId="0" fontId="64" fillId="57" borderId="0" xfId="0" applyFont="1" applyFill="1" applyAlignment="1" applyProtection="1">
      <alignment horizontal="left" vertical="center"/>
      <protection hidden="1"/>
    </xf>
    <xf numFmtId="0" fontId="0" fillId="33" borderId="71" xfId="0" applyFill="1" applyBorder="1" applyAlignment="1" applyProtection="1">
      <alignment horizontal="left" vertical="center" indent="2"/>
      <protection hidden="1"/>
    </xf>
    <xf numFmtId="0" fontId="0" fillId="33" borderId="72" xfId="0" applyFill="1" applyBorder="1" applyAlignment="1" applyProtection="1">
      <alignment horizontal="left" vertical="center" indent="2"/>
      <protection hidden="1"/>
    </xf>
    <xf numFmtId="173" fontId="22" fillId="9" borderId="20" xfId="0" applyNumberFormat="1" applyFont="1" applyFill="1" applyBorder="1" applyAlignment="1" applyProtection="1">
      <alignment horizontal="left" vertical="center"/>
      <protection hidden="1"/>
    </xf>
    <xf numFmtId="167" fontId="22" fillId="9" borderId="8" xfId="0" applyNumberFormat="1" applyFont="1" applyFill="1" applyBorder="1" applyAlignment="1" applyProtection="1">
      <alignment horizontal="left" vertical="center"/>
      <protection hidden="1"/>
    </xf>
    <xf numFmtId="167" fontId="22" fillId="9" borderId="3" xfId="0" applyNumberFormat="1" applyFont="1" applyFill="1" applyBorder="1" applyAlignment="1" applyProtection="1">
      <alignment horizontal="left" vertical="center"/>
      <protection hidden="1"/>
    </xf>
    <xf numFmtId="167" fontId="22" fillId="9" borderId="20" xfId="0" applyNumberFormat="1" applyFont="1" applyFill="1" applyBorder="1" applyAlignment="1" applyProtection="1">
      <alignment horizontal="left" vertical="center"/>
      <protection hidden="1"/>
    </xf>
    <xf numFmtId="167" fontId="20" fillId="7" borderId="8" xfId="0" applyNumberFormat="1" applyFont="1" applyFill="1" applyBorder="1" applyAlignment="1" applyProtection="1">
      <alignment horizontal="left" vertical="center"/>
      <protection hidden="1"/>
    </xf>
    <xf numFmtId="14" fontId="3" fillId="10" borderId="0" xfId="0" applyNumberFormat="1" applyFont="1" applyFill="1" applyAlignment="1" applyProtection="1">
      <alignment horizontal="right" vertical="center" indent="1"/>
      <protection hidden="1"/>
    </xf>
    <xf numFmtId="173" fontId="15" fillId="10" borderId="0" xfId="0" applyNumberFormat="1" applyFont="1" applyFill="1" applyAlignment="1" applyProtection="1">
      <alignment horizontal="left" vertical="center" indent="1"/>
      <protection hidden="1"/>
    </xf>
    <xf numFmtId="164" fontId="13" fillId="25" borderId="0" xfId="0" applyNumberFormat="1" applyFont="1" applyFill="1" applyAlignment="1" applyProtection="1">
      <alignment horizontal="left" vertical="center"/>
      <protection hidden="1"/>
    </xf>
    <xf numFmtId="164" fontId="12" fillId="3" borderId="0" xfId="0" applyNumberFormat="1" applyFont="1" applyFill="1" applyAlignment="1" applyProtection="1">
      <alignment horizontal="left" vertical="center"/>
      <protection hidden="1"/>
    </xf>
    <xf numFmtId="4" fontId="3" fillId="10" borderId="0" xfId="0" applyNumberFormat="1" applyFont="1" applyFill="1" applyAlignment="1" applyProtection="1">
      <alignment horizontal="right" vertical="center" indent="1"/>
      <protection hidden="1"/>
    </xf>
    <xf numFmtId="14" fontId="12" fillId="3" borderId="0" xfId="0" applyNumberFormat="1" applyFont="1" applyFill="1" applyAlignment="1" applyProtection="1">
      <alignment horizontal="left" vertical="center"/>
      <protection hidden="1"/>
    </xf>
    <xf numFmtId="173" fontId="26" fillId="18" borderId="0" xfId="0" applyNumberFormat="1" applyFont="1" applyFill="1" applyAlignment="1" applyProtection="1">
      <alignment horizontal="right" vertical="center"/>
      <protection hidden="1"/>
    </xf>
    <xf numFmtId="173" fontId="17" fillId="28" borderId="0" xfId="0" applyNumberFormat="1" applyFont="1" applyFill="1" applyAlignment="1" applyProtection="1">
      <alignment horizontal="right" vertical="center"/>
      <protection hidden="1"/>
    </xf>
    <xf numFmtId="173" fontId="26" fillId="20" borderId="0" xfId="0" applyNumberFormat="1" applyFont="1" applyFill="1" applyAlignment="1" applyProtection="1">
      <alignment horizontal="right" vertical="center"/>
      <protection hidden="1"/>
    </xf>
    <xf numFmtId="14" fontId="54" fillId="33" borderId="0" xfId="0" applyNumberFormat="1" applyFont="1" applyFill="1" applyAlignment="1" applyProtection="1">
      <alignment horizontal="left" vertical="center"/>
      <protection hidden="1"/>
    </xf>
    <xf numFmtId="4" fontId="3" fillId="31" borderId="8" xfId="0" applyNumberFormat="1" applyFont="1" applyFill="1" applyBorder="1" applyAlignment="1" applyProtection="1">
      <alignment horizontal="right" vertical="center" indent="1"/>
      <protection hidden="1"/>
    </xf>
    <xf numFmtId="14" fontId="3" fillId="31" borderId="8" xfId="0" applyNumberFormat="1" applyFont="1" applyFill="1" applyBorder="1" applyAlignment="1" applyProtection="1">
      <alignment horizontal="right" vertical="center" indent="1"/>
      <protection hidden="1"/>
    </xf>
    <xf numFmtId="167" fontId="0" fillId="37" borderId="0" xfId="0" applyNumberFormat="1" applyFill="1" applyAlignment="1" applyProtection="1">
      <alignment horizontal="center" vertical="center"/>
      <protection hidden="1"/>
    </xf>
    <xf numFmtId="4" fontId="12" fillId="3" borderId="0" xfId="0" applyNumberFormat="1" applyFont="1" applyFill="1" applyAlignment="1" applyProtection="1">
      <alignment horizontal="left" vertical="center"/>
      <protection hidden="1"/>
    </xf>
    <xf numFmtId="167" fontId="13" fillId="24" borderId="0" xfId="0" applyNumberFormat="1" applyFont="1" applyFill="1" applyAlignment="1" applyProtection="1">
      <alignment horizontal="left" vertical="center"/>
      <protection hidden="1"/>
    </xf>
    <xf numFmtId="14" fontId="22" fillId="24" borderId="0" xfId="1" applyNumberFormat="1" applyFont="1" applyFill="1" applyBorder="1" applyAlignment="1" applyProtection="1">
      <alignment horizontal="left" vertical="center"/>
      <protection hidden="1"/>
    </xf>
    <xf numFmtId="14" fontId="12" fillId="24" borderId="0" xfId="0" applyNumberFormat="1" applyFont="1" applyFill="1" applyAlignment="1" applyProtection="1">
      <alignment horizontal="left" vertical="center"/>
      <protection hidden="1"/>
    </xf>
    <xf numFmtId="173" fontId="27" fillId="26" borderId="0" xfId="0" applyNumberFormat="1" applyFont="1" applyFill="1" applyAlignment="1" applyProtection="1">
      <alignment horizontal="right" vertical="center"/>
      <protection hidden="1"/>
    </xf>
    <xf numFmtId="167" fontId="0" fillId="67" borderId="0" xfId="0" applyNumberFormat="1" applyFill="1" applyAlignment="1" applyProtection="1">
      <alignment horizontal="right" vertical="center"/>
      <protection hidden="1"/>
    </xf>
    <xf numFmtId="4" fontId="12" fillId="67" borderId="0" xfId="0" applyNumberFormat="1" applyFont="1" applyFill="1" applyAlignment="1" applyProtection="1">
      <alignment horizontal="left" vertical="center"/>
      <protection hidden="1"/>
    </xf>
    <xf numFmtId="0" fontId="3" fillId="31" borderId="8" xfId="0" applyFont="1" applyFill="1" applyBorder="1" applyAlignment="1" applyProtection="1">
      <alignment horizontal="left" vertical="center" indent="1"/>
      <protection hidden="1"/>
    </xf>
    <xf numFmtId="14" fontId="3" fillId="31" borderId="8" xfId="0" applyNumberFormat="1" applyFont="1" applyFill="1" applyBorder="1" applyAlignment="1" applyProtection="1">
      <alignment horizontal="left" vertical="center" indent="1"/>
      <protection hidden="1"/>
    </xf>
    <xf numFmtId="0" fontId="3" fillId="50" borderId="135" xfId="0" applyFont="1" applyFill="1" applyBorder="1" applyAlignment="1" applyProtection="1">
      <alignment horizontal="left" vertical="center" wrapText="1" indent="1"/>
      <protection hidden="1"/>
    </xf>
    <xf numFmtId="0" fontId="3" fillId="50" borderId="116" xfId="0" applyFont="1" applyFill="1" applyBorder="1" applyAlignment="1" applyProtection="1">
      <alignment horizontal="left" vertical="center" wrapText="1" indent="1"/>
      <protection hidden="1"/>
    </xf>
    <xf numFmtId="0" fontId="0" fillId="51" borderId="0" xfId="0" applyFill="1" applyAlignment="1" applyProtection="1">
      <alignment horizontal="left" vertical="center" wrapText="1" indent="1"/>
      <protection hidden="1"/>
    </xf>
    <xf numFmtId="0" fontId="3" fillId="50" borderId="0" xfId="0" applyFont="1" applyFill="1" applyAlignment="1" applyProtection="1">
      <alignment horizontal="left" vertical="center" wrapText="1" indent="1"/>
      <protection hidden="1"/>
    </xf>
    <xf numFmtId="0" fontId="0" fillId="51" borderId="116" xfId="0" applyFill="1" applyBorder="1" applyAlignment="1" applyProtection="1">
      <alignment horizontal="left" vertical="center" wrapText="1" indent="1"/>
      <protection hidden="1"/>
    </xf>
    <xf numFmtId="0" fontId="1" fillId="50" borderId="135" xfId="0" applyFont="1" applyFill="1" applyBorder="1" applyAlignment="1" applyProtection="1">
      <alignment horizontal="left" vertical="center" wrapText="1" indent="1"/>
      <protection hidden="1"/>
    </xf>
    <xf numFmtId="0" fontId="41" fillId="48" borderId="0" xfId="0" applyFont="1" applyFill="1" applyAlignment="1" applyProtection="1">
      <alignment horizontal="center" vertical="center" wrapText="1"/>
      <protection hidden="1"/>
    </xf>
    <xf numFmtId="0" fontId="0" fillId="48" borderId="0" xfId="0" applyFill="1" applyAlignment="1" applyProtection="1">
      <alignment horizontal="left" vertical="center" wrapText="1" indent="1"/>
      <protection hidden="1"/>
    </xf>
    <xf numFmtId="0" fontId="40" fillId="64" borderId="96" xfId="0" applyFont="1" applyFill="1" applyBorder="1" applyAlignment="1" applyProtection="1">
      <alignment horizontal="center" vertical="center"/>
      <protection hidden="1"/>
    </xf>
    <xf numFmtId="0" fontId="0" fillId="50" borderId="0" xfId="0" applyFill="1" applyAlignment="1" applyProtection="1">
      <alignment horizontal="left" vertical="center" wrapText="1" indent="1"/>
      <protection hidden="1"/>
    </xf>
    <xf numFmtId="0" fontId="3" fillId="51" borderId="91" xfId="0" applyFont="1" applyFill="1" applyBorder="1" applyAlignment="1" applyProtection="1">
      <alignment horizontal="left" vertical="center" wrapText="1" indent="1"/>
      <protection hidden="1"/>
    </xf>
    <xf numFmtId="0" fontId="41" fillId="48" borderId="0" xfId="0" applyFont="1" applyFill="1" applyAlignment="1" applyProtection="1">
      <alignment horizontal="center" vertical="center"/>
      <protection hidden="1"/>
    </xf>
    <xf numFmtId="0" fontId="0" fillId="49" borderId="0" xfId="0" applyFill="1" applyAlignment="1" applyProtection="1">
      <alignment horizontal="left" vertical="center" wrapText="1" indent="1"/>
      <protection hidden="1"/>
    </xf>
    <xf numFmtId="0" fontId="41" fillId="49" borderId="0" xfId="0" applyFont="1" applyFill="1" applyAlignment="1" applyProtection="1">
      <alignment horizontal="center" vertical="center" wrapText="1"/>
      <protection hidden="1"/>
    </xf>
    <xf numFmtId="0" fontId="41" fillId="48" borderId="116" xfId="0" applyFont="1" applyFill="1" applyBorder="1" applyAlignment="1" applyProtection="1">
      <alignment horizontal="center" vertical="center" wrapText="1"/>
      <protection hidden="1"/>
    </xf>
    <xf numFmtId="0" fontId="3" fillId="58" borderId="22" xfId="0" applyFont="1" applyFill="1" applyBorder="1" applyAlignment="1" applyProtection="1">
      <alignment horizontal="left" vertical="center" indent="1"/>
      <protection hidden="1"/>
    </xf>
    <xf numFmtId="0" fontId="3" fillId="58" borderId="28" xfId="0" applyFont="1" applyFill="1" applyBorder="1" applyAlignment="1" applyProtection="1">
      <alignment horizontal="left" vertical="center" indent="1"/>
      <protection hidden="1"/>
    </xf>
    <xf numFmtId="0" fontId="3" fillId="58" borderId="29" xfId="0" applyFont="1" applyFill="1" applyBorder="1" applyAlignment="1" applyProtection="1">
      <alignment horizontal="left" vertical="center" indent="1"/>
      <protection hidden="1"/>
    </xf>
    <xf numFmtId="0" fontId="0" fillId="6" borderId="22" xfId="0" applyFill="1" applyBorder="1" applyAlignment="1" applyProtection="1">
      <alignment horizontal="left" vertical="center" indent="1"/>
      <protection hidden="1"/>
    </xf>
    <xf numFmtId="0" fontId="0" fillId="6" borderId="28" xfId="0" applyFill="1" applyBorder="1" applyAlignment="1" applyProtection="1">
      <alignment horizontal="left" vertical="center" indent="1"/>
      <protection hidden="1"/>
    </xf>
    <xf numFmtId="0" fontId="0" fillId="6" borderId="29" xfId="0" applyFill="1" applyBorder="1" applyAlignment="1" applyProtection="1">
      <alignment horizontal="left" vertical="center" indent="1"/>
      <protection hidden="1"/>
    </xf>
    <xf numFmtId="167" fontId="20" fillId="7" borderId="20" xfId="0" applyNumberFormat="1" applyFont="1" applyFill="1" applyBorder="1" applyAlignment="1" applyProtection="1">
      <alignment horizontal="center" vertical="center"/>
      <protection hidden="1"/>
    </xf>
    <xf numFmtId="167" fontId="20" fillId="7" borderId="7" xfId="0" applyNumberFormat="1" applyFont="1" applyFill="1" applyBorder="1" applyAlignment="1" applyProtection="1">
      <alignment horizontal="center" vertical="center"/>
      <protection hidden="1"/>
    </xf>
    <xf numFmtId="167" fontId="20" fillId="7" borderId="22" xfId="0" applyNumberFormat="1" applyFont="1" applyFill="1" applyBorder="1" applyAlignment="1" applyProtection="1">
      <alignment horizontal="center" vertical="center"/>
      <protection hidden="1"/>
    </xf>
    <xf numFmtId="167" fontId="20" fillId="7" borderId="29" xfId="0" applyNumberFormat="1" applyFont="1" applyFill="1" applyBorder="1" applyAlignment="1" applyProtection="1">
      <alignment horizontal="center" vertical="center"/>
      <protection hidden="1"/>
    </xf>
    <xf numFmtId="167" fontId="22" fillId="7" borderId="22" xfId="0" applyNumberFormat="1" applyFont="1" applyFill="1" applyBorder="1" applyAlignment="1" applyProtection="1">
      <alignment horizontal="left" vertical="center" indent="1"/>
      <protection hidden="1"/>
    </xf>
    <xf numFmtId="167" fontId="22" fillId="7" borderId="29" xfId="0" applyNumberFormat="1" applyFont="1" applyFill="1" applyBorder="1" applyAlignment="1" applyProtection="1">
      <alignment horizontal="left" vertical="center" indent="1"/>
      <protection hidden="1"/>
    </xf>
    <xf numFmtId="167" fontId="22" fillId="7" borderId="20" xfId="0" applyNumberFormat="1" applyFont="1" applyFill="1" applyBorder="1" applyAlignment="1" applyProtection="1">
      <alignment horizontal="left" vertical="center" indent="1"/>
      <protection hidden="1"/>
    </xf>
    <xf numFmtId="167" fontId="22" fillId="7" borderId="7" xfId="0" applyNumberFormat="1" applyFont="1" applyFill="1" applyBorder="1" applyAlignment="1" applyProtection="1">
      <alignment horizontal="left" vertical="center" indent="1"/>
      <protection hidden="1"/>
    </xf>
    <xf numFmtId="167" fontId="44" fillId="7" borderId="8" xfId="0" applyNumberFormat="1" applyFont="1" applyFill="1" applyBorder="1" applyAlignment="1" applyProtection="1">
      <alignment horizontal="center" vertical="center"/>
      <protection hidden="1"/>
    </xf>
    <xf numFmtId="14" fontId="0" fillId="6" borderId="22" xfId="0" applyNumberFormat="1" applyFill="1" applyBorder="1" applyAlignment="1" applyProtection="1">
      <alignment horizontal="left" vertical="center" indent="1"/>
      <protection hidden="1"/>
    </xf>
    <xf numFmtId="14" fontId="0" fillId="6" borderId="29" xfId="0" applyNumberFormat="1" applyFill="1" applyBorder="1" applyAlignment="1" applyProtection="1">
      <alignment horizontal="left" vertical="center" indent="1"/>
      <protection hidden="1"/>
    </xf>
    <xf numFmtId="165" fontId="0" fillId="6" borderId="22" xfId="0" applyNumberFormat="1" applyFill="1" applyBorder="1" applyAlignment="1" applyProtection="1">
      <alignment horizontal="left" vertical="center" indent="1"/>
      <protection hidden="1"/>
    </xf>
    <xf numFmtId="165" fontId="0" fillId="6" borderId="29" xfId="0" applyNumberFormat="1" applyFill="1" applyBorder="1" applyAlignment="1" applyProtection="1">
      <alignment horizontal="left" vertical="center" indent="1"/>
      <protection hidden="1"/>
    </xf>
    <xf numFmtId="0" fontId="0" fillId="6" borderId="8" xfId="0" applyFill="1" applyBorder="1" applyAlignment="1" applyProtection="1">
      <alignment horizontal="left" vertical="center" indent="1"/>
      <protection hidden="1"/>
    </xf>
    <xf numFmtId="167" fontId="22" fillId="7" borderId="28" xfId="0" applyNumberFormat="1" applyFont="1" applyFill="1" applyBorder="1" applyAlignment="1" applyProtection="1">
      <alignment horizontal="left" vertical="center" indent="1"/>
      <protection hidden="1"/>
    </xf>
    <xf numFmtId="167" fontId="20" fillId="9" borderId="20" xfId="0" applyNumberFormat="1" applyFont="1" applyFill="1" applyBorder="1" applyAlignment="1" applyProtection="1">
      <alignment horizontal="center" vertical="center" wrapText="1"/>
      <protection hidden="1"/>
    </xf>
    <xf numFmtId="167" fontId="20" fillId="9" borderId="7" xfId="0" applyNumberFormat="1" applyFont="1" applyFill="1" applyBorder="1" applyAlignment="1" applyProtection="1">
      <alignment horizontal="center" vertical="center" wrapText="1"/>
      <protection hidden="1"/>
    </xf>
    <xf numFmtId="167" fontId="22" fillId="7" borderId="22" xfId="0" applyNumberFormat="1" applyFont="1" applyFill="1" applyBorder="1" applyAlignment="1" applyProtection="1">
      <alignment horizontal="left" vertical="center"/>
      <protection hidden="1"/>
    </xf>
    <xf numFmtId="167" fontId="22" fillId="7" borderId="28" xfId="0" applyNumberFormat="1" applyFont="1" applyFill="1" applyBorder="1" applyAlignment="1" applyProtection="1">
      <alignment horizontal="left" vertical="center"/>
      <protection hidden="1"/>
    </xf>
    <xf numFmtId="4" fontId="3" fillId="0" borderId="22" xfId="4" applyNumberFormat="1" applyFont="1" applyBorder="1" applyAlignment="1">
      <alignment horizontal="left" vertical="center"/>
    </xf>
    <xf numFmtId="4" fontId="3" fillId="0" borderId="28" xfId="4" applyNumberFormat="1" applyFont="1" applyBorder="1" applyAlignment="1">
      <alignment horizontal="left" vertical="center"/>
    </xf>
    <xf numFmtId="4" fontId="3" fillId="0" borderId="29" xfId="4" applyNumberFormat="1" applyFont="1" applyBorder="1" applyAlignment="1">
      <alignment horizontal="left" vertical="center"/>
    </xf>
    <xf numFmtId="0" fontId="0" fillId="5" borderId="110" xfId="0" applyFill="1" applyBorder="1" applyAlignment="1" applyProtection="1">
      <alignment horizontal="left" vertical="center" indent="1"/>
      <protection hidden="1"/>
    </xf>
    <xf numFmtId="0" fontId="0" fillId="5" borderId="48" xfId="0" applyFill="1" applyBorder="1" applyAlignment="1" applyProtection="1">
      <alignment horizontal="left" vertical="center" indent="1"/>
      <protection hidden="1"/>
    </xf>
    <xf numFmtId="0" fontId="0" fillId="25" borderId="110" xfId="0" applyFill="1" applyBorder="1" applyAlignment="1" applyProtection="1">
      <alignment horizontal="left" vertical="center" wrapText="1" indent="1"/>
      <protection hidden="1"/>
    </xf>
    <xf numFmtId="0" fontId="0" fillId="25" borderId="48" xfId="0" applyFill="1" applyBorder="1" applyAlignment="1" applyProtection="1">
      <alignment horizontal="left" vertical="center" wrapText="1" indent="1"/>
      <protection hidden="1"/>
    </xf>
    <xf numFmtId="0" fontId="0" fillId="25" borderId="110" xfId="0" applyFill="1" applyBorder="1" applyAlignment="1" applyProtection="1">
      <alignment horizontal="left" vertical="center" indent="1"/>
      <protection hidden="1"/>
    </xf>
    <xf numFmtId="0" fontId="0" fillId="25" borderId="113" xfId="0" applyFill="1" applyBorder="1" applyAlignment="1" applyProtection="1">
      <alignment horizontal="left" vertical="center" indent="1"/>
      <protection hidden="1"/>
    </xf>
    <xf numFmtId="0" fontId="0" fillId="25" borderId="48" xfId="0" applyFill="1" applyBorder="1" applyAlignment="1" applyProtection="1">
      <alignment horizontal="left" vertical="center" indent="1"/>
      <protection hidden="1"/>
    </xf>
    <xf numFmtId="0" fontId="0" fillId="5" borderId="110" xfId="0" applyFill="1" applyBorder="1" applyAlignment="1" applyProtection="1">
      <alignment horizontal="center" vertical="center"/>
      <protection hidden="1"/>
    </xf>
    <xf numFmtId="0" fontId="0" fillId="5" borderId="113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167" fontId="58" fillId="9" borderId="1" xfId="0" applyNumberFormat="1" applyFont="1" applyFill="1" applyBorder="1" applyAlignment="1" applyProtection="1">
      <alignment horizontal="center" vertical="center" wrapText="1"/>
      <protection hidden="1"/>
    </xf>
    <xf numFmtId="167" fontId="58" fillId="9" borderId="26" xfId="0" applyNumberFormat="1" applyFont="1" applyFill="1" applyBorder="1" applyAlignment="1" applyProtection="1">
      <alignment horizontal="center" vertical="center" wrapText="1"/>
      <protection hidden="1"/>
    </xf>
    <xf numFmtId="167" fontId="58" fillId="7" borderId="20" xfId="0" applyNumberFormat="1" applyFont="1" applyFill="1" applyBorder="1" applyAlignment="1" applyProtection="1">
      <alignment horizontal="center" vertical="center" wrapText="1"/>
      <protection hidden="1"/>
    </xf>
    <xf numFmtId="167" fontId="58" fillId="7" borderId="7" xfId="0" applyNumberFormat="1" applyFont="1" applyFill="1" applyBorder="1" applyAlignment="1" applyProtection="1">
      <alignment horizontal="center" vertical="center" wrapText="1"/>
      <protection hidden="1"/>
    </xf>
    <xf numFmtId="167" fontId="58" fillId="7" borderId="3" xfId="0" applyNumberFormat="1" applyFont="1" applyFill="1" applyBorder="1" applyAlignment="1" applyProtection="1">
      <alignment horizontal="center" vertical="center" wrapText="1"/>
      <protection hidden="1"/>
    </xf>
    <xf numFmtId="167" fontId="58" fillId="7" borderId="92" xfId="0" applyNumberFormat="1" applyFont="1" applyFill="1" applyBorder="1" applyAlignment="1" applyProtection="1">
      <alignment horizontal="center" vertical="center" wrapText="1"/>
      <protection hidden="1"/>
    </xf>
    <xf numFmtId="167" fontId="11" fillId="10" borderId="22" xfId="0" applyNumberFormat="1" applyFont="1" applyFill="1" applyBorder="1" applyAlignment="1" applyProtection="1">
      <alignment horizontal="center" vertical="center"/>
      <protection hidden="1"/>
    </xf>
    <xf numFmtId="167" fontId="11" fillId="10" borderId="28" xfId="0" applyNumberFormat="1" applyFont="1" applyFill="1" applyBorder="1" applyAlignment="1" applyProtection="1">
      <alignment horizontal="center" vertical="center"/>
      <protection hidden="1"/>
    </xf>
    <xf numFmtId="167" fontId="11" fillId="10" borderId="29" xfId="0" applyNumberFormat="1" applyFont="1" applyFill="1" applyBorder="1" applyAlignment="1" applyProtection="1">
      <alignment horizontal="center" vertical="center"/>
      <protection hidden="1"/>
    </xf>
  </cellXfs>
  <cellStyles count="6">
    <cellStyle name="Dziesiętny" xfId="5" builtinId="3"/>
    <cellStyle name="Hiperłącze" xfId="1" builtinId="8"/>
    <cellStyle name="Normalny" xfId="0" builtinId="0"/>
    <cellStyle name="Normalny 2" xfId="2" xr:uid="{00000000-0005-0000-0000-000003000000}"/>
    <cellStyle name="Normalny 2 2" xfId="4" xr:uid="{00000000-0005-0000-0000-000004000000}"/>
    <cellStyle name="Procentowy" xfId="3" builtinId="5"/>
  </cellStyles>
  <dxfs count="69">
    <dxf>
      <font>
        <color rgb="FFFF0000"/>
      </font>
    </dxf>
    <dxf>
      <fill>
        <patternFill>
          <bgColor rgb="FFC0C0C0"/>
        </patternFill>
      </fill>
      <border>
        <left/>
        <right/>
        <top/>
        <bottom/>
      </border>
    </dxf>
    <dxf>
      <fill>
        <patternFill>
          <bgColor rgb="FFCCCC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>
          <bgColor theme="0" tint="-0.24994659260841701"/>
        </patternFill>
      </fill>
      <border>
        <left style="thin">
          <color indexed="64"/>
        </left>
        <right/>
        <top/>
        <bottom/>
      </border>
    </dxf>
    <dxf>
      <font>
        <color rgb="FFFF0000"/>
      </font>
    </dxf>
    <dxf>
      <font>
        <color rgb="FFC0C0C0"/>
      </font>
    </dxf>
    <dxf>
      <font>
        <color rgb="FFFF404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auto="1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</font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ill>
        <patternFill>
          <bgColor rgb="FFC8C8C8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color theme="1" tint="0.499984740745262"/>
      </font>
    </dxf>
    <dxf>
      <font>
        <color theme="1" tint="0.14996795556505021"/>
      </font>
      <fill>
        <patternFill>
          <bgColor theme="1" tint="0.14996795556505021"/>
        </patternFill>
      </fill>
      <border>
        <left/>
        <right/>
        <top/>
        <bottom/>
        <vertical/>
        <horizontal/>
      </border>
    </dxf>
    <dxf>
      <font>
        <color theme="1" tint="0.14996795556505021"/>
      </font>
      <fill>
        <patternFill>
          <bgColor theme="1" tint="0.14996795556505021"/>
        </patternFill>
      </fill>
      <border>
        <left/>
        <right/>
        <top/>
        <bottom/>
        <vertical/>
        <horizontal/>
      </border>
    </dxf>
    <dxf>
      <fill>
        <gradientFill degree="45">
          <stop position="0">
            <color theme="0" tint="-0.1490218817712943"/>
          </stop>
          <stop position="1">
            <color theme="0" tint="-0.25098422193060094"/>
          </stop>
        </gradientFill>
      </fill>
    </dxf>
    <dxf>
      <fill>
        <patternFill>
          <bgColor rgb="FFC8C8C8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1"/>
      </font>
    </dxf>
    <dxf>
      <fill>
        <gradientFill degree="225">
          <stop position="0">
            <color theme="0" tint="-0.25098422193060094"/>
          </stop>
          <stop position="1">
            <color theme="0" tint="-0.1490218817712943"/>
          </stop>
        </gradientFill>
      </fill>
    </dxf>
    <dxf>
      <fill>
        <gradientFill degree="225">
          <stop position="0">
            <color theme="0" tint="-0.25098422193060094"/>
          </stop>
          <stop position="1">
            <color theme="0" tint="-0.1490218817712943"/>
          </stop>
        </gradientFill>
      </fill>
    </dxf>
    <dxf>
      <font>
        <color theme="1"/>
      </font>
    </dxf>
    <dxf>
      <font>
        <color theme="1"/>
      </font>
    </dxf>
    <dxf>
      <fill>
        <patternFill>
          <bgColor rgb="FFC8C8C8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ont>
        <color theme="0" tint="-0.14996795556505021"/>
      </font>
    </dxf>
    <dxf>
      <font>
        <color rgb="FFFF0000"/>
      </font>
    </dxf>
    <dxf>
      <fill>
        <gradientFill degree="180">
          <stop position="0">
            <color rgb="FFC8C8C8"/>
          </stop>
          <stop position="1">
            <color theme="0" tint="-0.34900967436750391"/>
          </stop>
        </gradientFill>
      </fill>
      <border>
        <left style="thin">
          <color theme="0" tint="-4.9989318521683403E-2"/>
        </left>
        <right/>
        <top/>
        <bottom/>
      </border>
    </dxf>
    <dxf>
      <fill>
        <patternFill>
          <bgColor rgb="FFC8C8C8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rgb="FFC8C8C8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C00000"/>
          </stop>
        </gradientFill>
      </fill>
    </dxf>
    <dxf>
      <font>
        <color rgb="FFB72033"/>
      </font>
      <fill>
        <patternFill>
          <bgColor rgb="FFB72033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color rgb="FF808080"/>
      </font>
    </dxf>
    <dxf>
      <font>
        <color rgb="FFFF0000"/>
      </font>
    </dxf>
    <dxf>
      <font>
        <color rgb="FF808080"/>
      </font>
    </dxf>
    <dxf>
      <font>
        <color rgb="FF808080"/>
      </font>
    </dxf>
    <dxf>
      <font>
        <color rgb="FFFF0000"/>
      </font>
    </dxf>
    <dxf>
      <font>
        <color rgb="FF808080"/>
      </font>
    </dxf>
    <dxf>
      <font>
        <color rgb="FF808080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B72033"/>
      </font>
      <fill>
        <patternFill>
          <bgColor rgb="FFB72033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ill>
        <patternFill patternType="solid">
          <fgColor auto="1"/>
          <bgColor theme="1" tint="0.14996795556505021"/>
        </patternFill>
      </fill>
      <border>
        <left/>
        <right/>
        <top/>
        <bottom/>
      </border>
    </dxf>
    <dxf>
      <fill>
        <gradientFill degree="90">
          <stop position="0">
            <color rgb="FFB72033"/>
          </stop>
          <stop position="1">
            <color theme="1" tint="0.1490218817712943"/>
          </stop>
        </gradient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595959"/>
      <color rgb="FFB72033"/>
      <color rgb="FFF07F05"/>
      <color rgb="FFE87700"/>
      <color rgb="FFC8C8C8"/>
      <color rgb="FFCC2C00"/>
      <color rgb="FFB0B0B0"/>
      <color rgb="FF333333"/>
      <color rgb="FFDDDDDD"/>
      <color rgb="FFB8B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bp.pl/home.aspx?c=/ascx/archa.ascx" TargetMode="External"/><Relationship Id="rId3" Type="http://schemas.openxmlformats.org/officeDocument/2006/relationships/image" Target="../media/image2.emf"/><Relationship Id="rId7" Type="http://schemas.openxmlformats.org/officeDocument/2006/relationships/image" Target="../media/image6.JPG"/><Relationship Id="rId2" Type="http://schemas.openxmlformats.org/officeDocument/2006/relationships/image" Target="../media/image1.png"/><Relationship Id="rId1" Type="http://schemas.openxmlformats.org/officeDocument/2006/relationships/hyperlink" Target="#provCalcRest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Kalkulator!M4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gk.pl/przedsiebiorstwa/poreczenia-i-gwarancje/gwarancje-de-minimis/" TargetMode="External"/><Relationship Id="rId2" Type="http://schemas.openxmlformats.org/officeDocument/2006/relationships/image" Target="../media/image1.png"/><Relationship Id="rId1" Type="http://schemas.openxmlformats.org/officeDocument/2006/relationships/hyperlink" Target="#Kalkulator!M4"/><Relationship Id="rId4" Type="http://schemas.openxmlformats.org/officeDocument/2006/relationships/hyperlink" Target="https://www.bgk.pl/przedsiebiorstwa/poreczenia-i-gwarancje/gwarancja-splaty-kredytu-z-funduszu-gwarancji-rolnych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48</xdr:row>
      <xdr:rowOff>76200</xdr:rowOff>
    </xdr:from>
    <xdr:to>
      <xdr:col>33</xdr:col>
      <xdr:colOff>104775</xdr:colOff>
      <xdr:row>50</xdr:row>
      <xdr:rowOff>123824</xdr:rowOff>
    </xdr:to>
    <xdr:pic>
      <xdr:nvPicPr>
        <xdr:cNvPr id="6" name="Obraz 5">
          <a:hlinkClick xmlns:r="http://schemas.openxmlformats.org/officeDocument/2006/relationships" r:id="rId1" tooltip="Przejdź do analizy wyliczenia prowizji 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438650"/>
          <a:ext cx="2228850" cy="257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46259</xdr:colOff>
          <xdr:row>8</xdr:row>
          <xdr:rowOff>93880</xdr:rowOff>
        </xdr:from>
        <xdr:to>
          <xdr:col>10</xdr:col>
          <xdr:colOff>194439</xdr:colOff>
          <xdr:row>44</xdr:row>
          <xdr:rowOff>151030</xdr:rowOff>
        </xdr:to>
        <xdr:pic>
          <xdr:nvPicPr>
            <xdr:cNvPr id="7" name="Obraz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logotyp" spid="_x0000_s926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54688" y="4910809"/>
              <a:ext cx="1771965" cy="3885292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89</xdr:col>
      <xdr:colOff>190497</xdr:colOff>
      <xdr:row>1</xdr:row>
      <xdr:rowOff>309562</xdr:rowOff>
    </xdr:from>
    <xdr:to>
      <xdr:col>89</xdr:col>
      <xdr:colOff>1748704</xdr:colOff>
      <xdr:row>1</xdr:row>
      <xdr:rowOff>3365501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897" y="442912"/>
          <a:ext cx="1558207" cy="305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91</xdr:col>
      <xdr:colOff>85725</xdr:colOff>
      <xdr:row>1</xdr:row>
      <xdr:rowOff>19049</xdr:rowOff>
    </xdr:from>
    <xdr:to>
      <xdr:col>91</xdr:col>
      <xdr:colOff>1692938</xdr:colOff>
      <xdr:row>3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4100" y="152399"/>
          <a:ext cx="1607213" cy="4032000"/>
        </a:xfrm>
        <a:prstGeom prst="rect">
          <a:avLst/>
        </a:prstGeom>
      </xdr:spPr>
    </xdr:pic>
    <xdr:clientData/>
  </xdr:twoCellAnchor>
  <xdr:twoCellAnchor editAs="oneCell">
    <xdr:from>
      <xdr:col>90</xdr:col>
      <xdr:colOff>228601</xdr:colOff>
      <xdr:row>0</xdr:row>
      <xdr:rowOff>118382</xdr:rowOff>
    </xdr:from>
    <xdr:to>
      <xdr:col>90</xdr:col>
      <xdr:colOff>1631808</xdr:colOff>
      <xdr:row>2</xdr:row>
      <xdr:rowOff>99536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3208" y="118382"/>
          <a:ext cx="1403207" cy="4036083"/>
        </a:xfrm>
        <a:prstGeom prst="rect">
          <a:avLst/>
        </a:prstGeom>
      </xdr:spPr>
    </xdr:pic>
    <xdr:clientData/>
  </xdr:twoCellAnchor>
  <xdr:twoCellAnchor editAs="oneCell">
    <xdr:from>
      <xdr:col>93</xdr:col>
      <xdr:colOff>295276</xdr:colOff>
      <xdr:row>1</xdr:row>
      <xdr:rowOff>9525</xdr:rowOff>
    </xdr:from>
    <xdr:to>
      <xdr:col>93</xdr:col>
      <xdr:colOff>1698483</xdr:colOff>
      <xdr:row>2</xdr:row>
      <xdr:rowOff>126750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08376" y="142875"/>
          <a:ext cx="1403207" cy="4032000"/>
        </a:xfrm>
        <a:prstGeom prst="rect">
          <a:avLst/>
        </a:prstGeom>
      </xdr:spPr>
    </xdr:pic>
    <xdr:clientData/>
  </xdr:twoCellAnchor>
  <xdr:twoCellAnchor editAs="oneCell">
    <xdr:from>
      <xdr:col>94</xdr:col>
      <xdr:colOff>258537</xdr:colOff>
      <xdr:row>0</xdr:row>
      <xdr:rowOff>77561</xdr:rowOff>
    </xdr:from>
    <xdr:to>
      <xdr:col>94</xdr:col>
      <xdr:colOff>1510120</xdr:colOff>
      <xdr:row>2</xdr:row>
      <xdr:rowOff>58715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52812" y="77561"/>
          <a:ext cx="1251583" cy="4029279"/>
        </a:xfrm>
        <a:prstGeom prst="rect">
          <a:avLst/>
        </a:prstGeom>
      </xdr:spPr>
    </xdr:pic>
    <xdr:clientData/>
  </xdr:twoCellAnchor>
  <xdr:twoCellAnchor editAs="oneCell">
    <xdr:from>
      <xdr:col>95</xdr:col>
      <xdr:colOff>258537</xdr:colOff>
      <xdr:row>0</xdr:row>
      <xdr:rowOff>77561</xdr:rowOff>
    </xdr:from>
    <xdr:to>
      <xdr:col>95</xdr:col>
      <xdr:colOff>1510120</xdr:colOff>
      <xdr:row>2</xdr:row>
      <xdr:rowOff>58715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33987" y="77561"/>
          <a:ext cx="1251583" cy="4029279"/>
        </a:xfrm>
        <a:prstGeom prst="rect">
          <a:avLst/>
        </a:prstGeom>
      </xdr:spPr>
    </xdr:pic>
    <xdr:clientData/>
  </xdr:twoCellAnchor>
  <xdr:twoCellAnchor>
    <xdr:from>
      <xdr:col>14</xdr:col>
      <xdr:colOff>12700</xdr:colOff>
      <xdr:row>24</xdr:row>
      <xdr:rowOff>76200</xdr:rowOff>
    </xdr:from>
    <xdr:to>
      <xdr:col>22</xdr:col>
      <xdr:colOff>95250</xdr:colOff>
      <xdr:row>24</xdr:row>
      <xdr:rowOff>121919</xdr:rowOff>
    </xdr:to>
    <xdr:sp macro="" textlink="">
      <xdr:nvSpPr>
        <xdr:cNvPr id="3" name="pole tekstowe 2">
          <a:hlinkClick xmlns:r="http://schemas.openxmlformats.org/officeDocument/2006/relationships" r:id="rId8" tooltip="Wejdź, aby sprawdzić kurs EUR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0800" y="6610350"/>
          <a:ext cx="1562100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100"/>
        </a:p>
      </xdr:txBody>
    </xdr:sp>
    <xdr:clientData/>
  </xdr:twoCellAnchor>
  <xdr:twoCellAnchor editAs="oneCell">
    <xdr:from>
      <xdr:col>88</xdr:col>
      <xdr:colOff>142872</xdr:colOff>
      <xdr:row>1</xdr:row>
      <xdr:rowOff>4762</xdr:rowOff>
    </xdr:from>
    <xdr:to>
      <xdr:col>88</xdr:col>
      <xdr:colOff>1701079</xdr:colOff>
      <xdr:row>1</xdr:row>
      <xdr:rowOff>3060701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2" y="138112"/>
          <a:ext cx="1558207" cy="305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206380</xdr:colOff>
      <xdr:row>1</xdr:row>
      <xdr:rowOff>1139480</xdr:rowOff>
    </xdr:from>
    <xdr:to>
      <xdr:col>88</xdr:col>
      <xdr:colOff>1605237</xdr:colOff>
      <xdr:row>2</xdr:row>
      <xdr:rowOff>104705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018380" y="1272830"/>
          <a:ext cx="1398857" cy="2880000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96</xdr:col>
      <xdr:colOff>142875</xdr:colOff>
      <xdr:row>1</xdr:row>
      <xdr:rowOff>0</xdr:rowOff>
    </xdr:from>
    <xdr:to>
      <xdr:col>96</xdr:col>
      <xdr:colOff>1701082</xdr:colOff>
      <xdr:row>1</xdr:row>
      <xdr:rowOff>3055939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42375" y="133350"/>
          <a:ext cx="1558207" cy="305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96</xdr:col>
      <xdr:colOff>206383</xdr:colOff>
      <xdr:row>1</xdr:row>
      <xdr:rowOff>1144243</xdr:rowOff>
    </xdr:from>
    <xdr:to>
      <xdr:col>96</xdr:col>
      <xdr:colOff>1605240</xdr:colOff>
      <xdr:row>2</xdr:row>
      <xdr:rowOff>109468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305883" y="1277593"/>
          <a:ext cx="1398857" cy="2880000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92</xdr:col>
      <xdr:colOff>134988</xdr:colOff>
      <xdr:row>1</xdr:row>
      <xdr:rowOff>69850</xdr:rowOff>
    </xdr:from>
    <xdr:to>
      <xdr:col>92</xdr:col>
      <xdr:colOff>1624054</xdr:colOff>
      <xdr:row>2</xdr:row>
      <xdr:rowOff>50800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4A13EB32-4829-70E3-6D26-90906E05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7238" y="196850"/>
          <a:ext cx="1489066" cy="389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47</xdr:row>
      <xdr:rowOff>342901</xdr:rowOff>
    </xdr:from>
    <xdr:to>
      <xdr:col>6</xdr:col>
      <xdr:colOff>190500</xdr:colOff>
      <xdr:row>48</xdr:row>
      <xdr:rowOff>323850</xdr:rowOff>
    </xdr:to>
    <xdr:pic>
      <xdr:nvPicPr>
        <xdr:cNvPr id="2" name="Obraz 1">
          <a:hlinkClick xmlns:r="http://schemas.openxmlformats.org/officeDocument/2006/relationships" r:id="rId1" tooltip="Przejdź do kalkulatora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6477001"/>
          <a:ext cx="838201" cy="333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75</xdr:row>
      <xdr:rowOff>28575</xdr:rowOff>
    </xdr:from>
    <xdr:to>
      <xdr:col>3</xdr:col>
      <xdr:colOff>323850</xdr:colOff>
      <xdr:row>76</xdr:row>
      <xdr:rowOff>0</xdr:rowOff>
    </xdr:to>
    <xdr:pic>
      <xdr:nvPicPr>
        <xdr:cNvPr id="2" name="Obraz 1">
          <a:hlinkClick xmlns:r="http://schemas.openxmlformats.org/officeDocument/2006/relationships" r:id="rId1" tooltip="Przejdź do kalkulatora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5049500"/>
          <a:ext cx="866775" cy="323850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10</xdr:row>
      <xdr:rowOff>19050</xdr:rowOff>
    </xdr:from>
    <xdr:to>
      <xdr:col>5</xdr:col>
      <xdr:colOff>3771900</xdr:colOff>
      <xdr:row>10</xdr:row>
      <xdr:rowOff>123825</xdr:rowOff>
    </xdr:to>
    <xdr:sp macro="" textlink="">
      <xdr:nvSpPr>
        <xdr:cNvPr id="3" name="pole tekstow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962275" y="2971800"/>
          <a:ext cx="3743325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100"/>
        </a:p>
      </xdr:txBody>
    </xdr:sp>
    <xdr:clientData/>
  </xdr:twoCellAnchor>
  <xdr:twoCellAnchor>
    <xdr:from>
      <xdr:col>5</xdr:col>
      <xdr:colOff>28574</xdr:colOff>
      <xdr:row>15</xdr:row>
      <xdr:rowOff>28575</xdr:rowOff>
    </xdr:from>
    <xdr:to>
      <xdr:col>5</xdr:col>
      <xdr:colOff>4705349</xdr:colOff>
      <xdr:row>15</xdr:row>
      <xdr:rowOff>123825</xdr:rowOff>
    </xdr:to>
    <xdr:sp macro="" textlink="">
      <xdr:nvSpPr>
        <xdr:cNvPr id="8" name="pole tekstow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962274" y="4191000"/>
          <a:ext cx="4676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100"/>
        </a:p>
      </xdr:txBody>
    </xdr:sp>
    <xdr:clientData/>
  </xdr:twoCellAnchor>
  <xdr:twoCellAnchor>
    <xdr:from>
      <xdr:col>5</xdr:col>
      <xdr:colOff>28574</xdr:colOff>
      <xdr:row>16</xdr:row>
      <xdr:rowOff>28575</xdr:rowOff>
    </xdr:from>
    <xdr:to>
      <xdr:col>5</xdr:col>
      <xdr:colOff>4705349</xdr:colOff>
      <xdr:row>16</xdr:row>
      <xdr:rowOff>123825</xdr:rowOff>
    </xdr:to>
    <xdr:sp macro="" textlink="">
      <xdr:nvSpPr>
        <xdr:cNvPr id="10" name="pole tekstow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962274" y="4343400"/>
          <a:ext cx="4676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Calc">
    <tabColor rgb="FF00B050"/>
    <pageSetUpPr fitToPage="1"/>
  </sheetPr>
  <dimension ref="B1:CT94"/>
  <sheetViews>
    <sheetView tabSelected="1" topLeftCell="A4" zoomScaleNormal="100" zoomScaleSheetLayoutView="100" workbookViewId="0">
      <pane ySplit="1" topLeftCell="A5" activePane="bottomLeft" state="frozen"/>
      <selection activeCell="A4" sqref="A4"/>
      <selection pane="bottomLeft" activeCell="X9" sqref="X9:AF9"/>
    </sheetView>
  </sheetViews>
  <sheetFormatPr defaultColWidth="9.33203125" defaultRowHeight="10.5" x14ac:dyDescent="0.15"/>
  <cols>
    <col min="1" max="1" width="3.33203125" style="68" customWidth="1"/>
    <col min="2" max="2" width="2.1640625" style="68" customWidth="1"/>
    <col min="3" max="3" width="1.83203125" style="68" customWidth="1"/>
    <col min="4" max="11" width="3.83203125" style="68" customWidth="1"/>
    <col min="12" max="12" width="0.1640625" style="68" customWidth="1"/>
    <col min="13" max="14" width="3.83203125" style="68" customWidth="1"/>
    <col min="15" max="17" width="3.5" style="68" customWidth="1"/>
    <col min="18" max="22" width="3.1640625" style="68" customWidth="1"/>
    <col min="23" max="35" width="3.5" style="68" customWidth="1"/>
    <col min="36" max="36" width="1.83203125" style="68" customWidth="1"/>
    <col min="37" max="37" width="0.1640625" style="68" customWidth="1"/>
    <col min="38" max="38" width="2" style="68" customWidth="1"/>
    <col min="39" max="39" width="1.83203125" style="68" customWidth="1"/>
    <col min="40" max="40" width="0.1640625" style="68" customWidth="1"/>
    <col min="41" max="41" width="1.83203125" style="68" customWidth="1"/>
    <col min="42" max="42" width="2" style="68" customWidth="1"/>
    <col min="43" max="43" width="3" style="68" customWidth="1"/>
    <col min="44" max="44" width="10.33203125" style="68" customWidth="1"/>
    <col min="45" max="45" width="3.83203125" style="68" customWidth="1"/>
    <col min="46" max="46" width="11.33203125" style="68" customWidth="1"/>
    <col min="47" max="47" width="14.6640625" style="68" customWidth="1"/>
    <col min="48" max="49" width="2" style="68" customWidth="1"/>
    <col min="50" max="50" width="0.1640625" style="68" customWidth="1"/>
    <col min="51" max="51" width="4.33203125" style="68" customWidth="1"/>
    <col min="52" max="52" width="3.5" style="59" hidden="1" customWidth="1"/>
    <col min="53" max="53" width="2.83203125" style="2" hidden="1" customWidth="1"/>
    <col min="54" max="55" width="4.33203125" style="2" hidden="1" customWidth="1"/>
    <col min="56" max="56" width="5.5" style="2" hidden="1" customWidth="1"/>
    <col min="57" max="63" width="4.33203125" style="2" hidden="1" customWidth="1"/>
    <col min="64" max="64" width="4.5" style="2" hidden="1" customWidth="1"/>
    <col min="65" max="66" width="6.5" style="2" hidden="1" customWidth="1"/>
    <col min="67" max="67" width="4.33203125" style="2" hidden="1" customWidth="1"/>
    <col min="68" max="68" width="6.5" style="2" hidden="1" customWidth="1"/>
    <col min="69" max="69" width="7.1640625" style="2" hidden="1" customWidth="1"/>
    <col min="70" max="70" width="4.5" style="2" hidden="1" customWidth="1"/>
    <col min="71" max="73" width="4.33203125" style="2" hidden="1" customWidth="1"/>
    <col min="74" max="75" width="5.1640625" style="2" hidden="1" customWidth="1"/>
    <col min="76" max="76" width="4.33203125" style="2" hidden="1" customWidth="1"/>
    <col min="77" max="77" width="2.83203125" style="2" hidden="1" customWidth="1"/>
    <col min="78" max="78" width="4.33203125" style="2" hidden="1" customWidth="1"/>
    <col min="79" max="79" width="6.83203125" style="2" hidden="1" customWidth="1"/>
    <col min="80" max="80" width="4.33203125" style="2" hidden="1" customWidth="1"/>
    <col min="81" max="82" width="5.5" style="2" hidden="1" customWidth="1"/>
    <col min="83" max="83" width="1.5" style="2" hidden="1" customWidth="1"/>
    <col min="84" max="87" width="4.33203125" style="2" hidden="1" customWidth="1"/>
    <col min="88" max="88" width="2.83203125" style="61" hidden="1" customWidth="1"/>
    <col min="89" max="89" width="31.83203125" style="255" customWidth="1"/>
    <col min="90" max="96" width="31.1640625" style="255" customWidth="1"/>
    <col min="97" max="97" width="31.83203125" style="255" customWidth="1"/>
    <col min="98" max="98" width="5.33203125" style="255" customWidth="1"/>
    <col min="99" max="99" width="9.33203125" style="68" customWidth="1"/>
    <col min="100" max="16384" width="9.33203125" style="68"/>
  </cols>
  <sheetData>
    <row r="1" spans="2:98" x14ac:dyDescent="0.15"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256"/>
      <c r="CL1" s="256" t="s">
        <v>280</v>
      </c>
      <c r="CM1" s="256" t="s">
        <v>281</v>
      </c>
      <c r="CN1" s="252" t="s">
        <v>282</v>
      </c>
      <c r="CO1" s="253" t="s">
        <v>473</v>
      </c>
      <c r="CP1" s="256" t="s">
        <v>284</v>
      </c>
      <c r="CQ1" s="256" t="s">
        <v>285</v>
      </c>
      <c r="CR1" s="256" t="s">
        <v>286</v>
      </c>
      <c r="CS1" s="256"/>
      <c r="CT1" s="256"/>
    </row>
    <row r="2" spans="2:98" ht="308.45" customHeight="1" x14ac:dyDescent="0.15"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254"/>
      <c r="CL2" s="254"/>
      <c r="CM2" s="254"/>
      <c r="CN2" s="254"/>
      <c r="CO2" s="254"/>
      <c r="CP2" s="254"/>
      <c r="CQ2" s="254"/>
      <c r="CR2" s="254"/>
      <c r="CS2" s="254"/>
      <c r="CT2" s="254"/>
    </row>
    <row r="3" spans="2:98" x14ac:dyDescent="0.15"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254"/>
      <c r="CL3" s="254"/>
      <c r="CM3" s="254"/>
      <c r="CN3" s="254"/>
      <c r="CO3" s="254"/>
      <c r="CP3" s="254"/>
      <c r="CQ3" s="254"/>
      <c r="CR3" s="254"/>
      <c r="CS3" s="254"/>
      <c r="CT3" s="254"/>
    </row>
    <row r="4" spans="2:98" hidden="1" x14ac:dyDescent="0.15"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</row>
    <row r="5" spans="2:98" ht="14.25" customHeight="1" x14ac:dyDescent="0.15">
      <c r="BA5" s="35"/>
      <c r="BB5" s="8"/>
      <c r="BC5" s="35"/>
      <c r="BD5" s="35"/>
      <c r="BE5" s="35"/>
      <c r="BG5" s="33"/>
      <c r="BH5" s="8"/>
      <c r="BI5" s="35"/>
      <c r="BJ5" s="35"/>
      <c r="BK5" s="35"/>
      <c r="BL5" s="35"/>
      <c r="BM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CJ5" s="60"/>
      <c r="CK5" s="68"/>
      <c r="CL5" s="68"/>
      <c r="CM5" s="68"/>
      <c r="CN5" s="68"/>
      <c r="CO5" s="68"/>
      <c r="CP5" s="68"/>
      <c r="CQ5" s="68"/>
      <c r="CR5" s="68"/>
      <c r="CS5" s="68"/>
      <c r="CT5" s="68"/>
    </row>
    <row r="6" spans="2:98" ht="19.5" customHeight="1" x14ac:dyDescent="0.15">
      <c r="B6" s="181"/>
      <c r="C6" s="416" t="s">
        <v>427</v>
      </c>
      <c r="D6" s="416"/>
      <c r="E6" s="416"/>
      <c r="F6" s="416"/>
      <c r="G6" s="570" t="str">
        <f>" v." &amp; calcVer</f>
        <v xml:space="preserve"> v.1.0.30ß</v>
      </c>
      <c r="H6" s="570"/>
      <c r="I6" s="570"/>
      <c r="J6" s="570"/>
      <c r="K6" s="570"/>
      <c r="L6" s="181"/>
      <c r="M6" s="588" t="str">
        <f ca="1">IF(error&gt;0,"","wyliczenia na " &amp;BT41)</f>
        <v/>
      </c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8"/>
      <c r="Z6" s="588"/>
      <c r="AA6" s="588"/>
      <c r="AB6" s="588"/>
      <c r="AC6" s="588"/>
      <c r="AD6" s="588"/>
      <c r="AE6" s="588"/>
      <c r="AF6" s="588"/>
      <c r="AG6" s="588"/>
      <c r="AH6" s="588"/>
      <c r="AI6" s="588"/>
      <c r="AJ6" s="588"/>
      <c r="AK6" s="185"/>
      <c r="AL6" s="181"/>
      <c r="BA6" s="35"/>
      <c r="BB6" s="8" t="s">
        <v>169</v>
      </c>
      <c r="BC6" s="35"/>
      <c r="BD6" s="35"/>
      <c r="BE6" s="35"/>
      <c r="BG6" s="33" t="s">
        <v>170</v>
      </c>
      <c r="BH6" s="8"/>
      <c r="BI6" s="35"/>
      <c r="BJ6" s="35"/>
      <c r="BK6" s="35"/>
      <c r="BL6" s="35"/>
      <c r="BM6" s="35"/>
      <c r="BO6" s="35"/>
      <c r="BP6" s="35"/>
      <c r="BQ6" s="35" t="s">
        <v>250</v>
      </c>
      <c r="BR6" s="35"/>
      <c r="BS6" s="35"/>
      <c r="BT6" s="35"/>
      <c r="BU6" s="35"/>
      <c r="BV6" s="35"/>
      <c r="BW6" s="35"/>
      <c r="BX6" s="35"/>
      <c r="CJ6" s="60"/>
    </row>
    <row r="7" spans="2:98" ht="9" customHeight="1" x14ac:dyDescent="0.15">
      <c r="B7" s="181"/>
      <c r="C7" s="416"/>
      <c r="D7" s="416"/>
      <c r="E7" s="416"/>
      <c r="F7" s="416"/>
      <c r="G7" s="570"/>
      <c r="H7" s="570"/>
      <c r="I7" s="570"/>
      <c r="J7" s="570"/>
      <c r="K7" s="570"/>
      <c r="L7" s="181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  <c r="AC7" s="589"/>
      <c r="AD7" s="589"/>
      <c r="AE7" s="589"/>
      <c r="AF7" s="589"/>
      <c r="AG7" s="589"/>
      <c r="AH7" s="589"/>
      <c r="AI7" s="589"/>
      <c r="AJ7" s="589"/>
      <c r="AK7" s="185"/>
      <c r="AL7" s="181"/>
      <c r="BA7" s="35"/>
      <c r="BB7" s="422" t="s">
        <v>38</v>
      </c>
      <c r="BC7" s="422" t="s">
        <v>47</v>
      </c>
      <c r="BD7" s="422" t="s">
        <v>163</v>
      </c>
      <c r="BE7" s="422" t="s">
        <v>390</v>
      </c>
      <c r="BG7" s="33"/>
      <c r="BH7" s="8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CJ7" s="60"/>
    </row>
    <row r="8" spans="2:98" ht="8.25" customHeight="1" x14ac:dyDescent="0.15">
      <c r="B8" s="184"/>
      <c r="C8" s="367"/>
      <c r="D8" s="368"/>
      <c r="E8" s="368"/>
      <c r="F8" s="368"/>
      <c r="G8" s="368"/>
      <c r="H8" s="368"/>
      <c r="I8" s="368"/>
      <c r="J8" s="368"/>
      <c r="K8" s="369"/>
      <c r="L8" s="142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66"/>
      <c r="AL8" s="196"/>
      <c r="AN8" s="347"/>
      <c r="AO8" s="348"/>
      <c r="AP8" s="351"/>
      <c r="AQ8" s="351"/>
      <c r="AR8" s="351"/>
      <c r="AS8" s="351"/>
      <c r="AT8" s="351"/>
      <c r="AU8" s="351"/>
      <c r="AV8" s="351"/>
      <c r="AW8" s="348"/>
      <c r="AX8" s="347"/>
      <c r="BB8" s="423"/>
      <c r="BC8" s="423"/>
      <c r="BD8" s="423"/>
      <c r="BE8" s="423"/>
      <c r="BG8" s="10"/>
      <c r="CJ8" s="60"/>
    </row>
    <row r="9" spans="2:98" ht="14.1" customHeight="1" x14ac:dyDescent="0.15">
      <c r="B9" s="184"/>
      <c r="C9" s="250"/>
      <c r="D9" s="251"/>
      <c r="E9" s="251"/>
      <c r="F9" s="251"/>
      <c r="G9" s="251"/>
      <c r="H9" s="251"/>
      <c r="I9" s="251"/>
      <c r="J9" s="251"/>
      <c r="K9" s="370"/>
      <c r="L9" s="142"/>
      <c r="M9" s="173"/>
      <c r="N9" s="173"/>
      <c r="O9" s="173"/>
      <c r="P9" s="173"/>
      <c r="Q9" s="173"/>
      <c r="R9" s="173"/>
      <c r="S9" s="173"/>
      <c r="T9" s="173"/>
      <c r="U9" s="173"/>
      <c r="V9" s="174"/>
      <c r="W9" s="174" t="s">
        <v>278</v>
      </c>
      <c r="X9" s="574"/>
      <c r="Y9" s="575"/>
      <c r="Z9" s="575"/>
      <c r="AA9" s="575"/>
      <c r="AB9" s="575"/>
      <c r="AC9" s="575"/>
      <c r="AD9" s="575"/>
      <c r="AE9" s="575"/>
      <c r="AF9" s="576"/>
      <c r="AG9" s="173"/>
      <c r="AH9" s="173"/>
      <c r="AI9" s="173"/>
      <c r="AJ9" s="173"/>
      <c r="AK9" s="145"/>
      <c r="AL9" s="196"/>
      <c r="AN9" s="347"/>
      <c r="AO9" s="349"/>
      <c r="AP9" s="353" t="s">
        <v>384</v>
      </c>
      <c r="AQ9" s="352"/>
      <c r="AR9" s="352"/>
      <c r="AS9" s="352"/>
      <c r="AT9" s="352"/>
      <c r="AU9" s="352"/>
      <c r="AV9" s="352"/>
      <c r="AW9" s="349"/>
      <c r="AX9" s="347"/>
      <c r="BB9" s="112">
        <v>1</v>
      </c>
      <c r="BC9" s="112">
        <v>1</v>
      </c>
      <c r="BD9" s="103">
        <f>IF(X9="",14,IF(ISERROR(BN9),1,""))</f>
        <v>14</v>
      </c>
      <c r="BE9" s="103" t="str">
        <f>IF(BD9=1,1,"")</f>
        <v/>
      </c>
      <c r="BG9" s="10"/>
      <c r="BL9" s="3" t="s">
        <v>314</v>
      </c>
      <c r="BM9" s="258">
        <f>IF(OR(X9="",ISERROR(BN9)),0,BN9)</f>
        <v>0</v>
      </c>
      <c r="BN9" s="259" t="e">
        <f>HLOOKUP(X9,produktKod,2,FALSE)</f>
        <v>#N/A</v>
      </c>
      <c r="BQ9" s="3" t="s">
        <v>296</v>
      </c>
      <c r="BR9" s="439" t="b">
        <f>IFERROR(HLOOKUP(kod_produkt,Produkty!$C$3:$L$11,9,FALSE)="Tak",FALSE)</f>
        <v>0</v>
      </c>
      <c r="BS9" s="440"/>
      <c r="BU9" s="3" t="s">
        <v>351</v>
      </c>
      <c r="BV9" s="439" t="b">
        <f>IFERROR(HLOOKUP(kod_produkt,Produkty!$C$3:$L$11,8,FALSE)="Tak",FALSE)</f>
        <v>0</v>
      </c>
      <c r="BW9" s="440"/>
      <c r="CC9" s="3" t="s">
        <v>383</v>
      </c>
      <c r="CD9" s="417">
        <f ca="1">IFERROR(VLOOKUP(BE53,Parametry!$B$48:$J$119,9,FALSE),"")</f>
        <v>0</v>
      </c>
      <c r="CE9" s="418"/>
      <c r="CF9" s="418"/>
      <c r="CG9" s="418"/>
      <c r="CH9" s="419"/>
      <c r="CJ9" s="60"/>
    </row>
    <row r="10" spans="2:98" ht="3.6" customHeight="1" x14ac:dyDescent="0.15">
      <c r="B10" s="184"/>
      <c r="C10" s="250"/>
      <c r="D10" s="251"/>
      <c r="E10" s="251"/>
      <c r="F10" s="251"/>
      <c r="G10" s="251"/>
      <c r="H10" s="251"/>
      <c r="I10" s="251"/>
      <c r="J10" s="251"/>
      <c r="K10" s="251"/>
      <c r="L10" s="142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45"/>
      <c r="AL10" s="196"/>
      <c r="AN10" s="347"/>
      <c r="AO10" s="349"/>
      <c r="AP10" s="350"/>
      <c r="AQ10" s="350"/>
      <c r="AR10" s="350"/>
      <c r="AS10" s="350"/>
      <c r="AT10" s="350"/>
      <c r="AU10" s="350"/>
      <c r="AV10" s="350"/>
      <c r="AW10" s="349"/>
      <c r="AX10" s="347"/>
      <c r="BG10" s="10"/>
      <c r="CJ10" s="60"/>
    </row>
    <row r="11" spans="2:98" ht="14.1" customHeight="1" x14ac:dyDescent="0.15">
      <c r="B11" s="184"/>
      <c r="C11" s="250"/>
      <c r="D11" s="251"/>
      <c r="E11" s="251"/>
      <c r="F11" s="251"/>
      <c r="G11" s="251"/>
      <c r="H11" s="251"/>
      <c r="I11" s="251"/>
      <c r="J11" s="251"/>
      <c r="K11" s="251"/>
      <c r="L11" s="142"/>
      <c r="M11" s="173"/>
      <c r="N11" s="173"/>
      <c r="O11" s="174"/>
      <c r="P11" s="174"/>
      <c r="Q11" s="174"/>
      <c r="R11" s="174"/>
      <c r="S11" s="174"/>
      <c r="T11" s="174"/>
      <c r="U11" s="174"/>
      <c r="V11" s="174"/>
      <c r="W11" s="174" t="s">
        <v>42</v>
      </c>
      <c r="X11" s="574"/>
      <c r="Y11" s="575"/>
      <c r="Z11" s="575"/>
      <c r="AA11" s="575"/>
      <c r="AB11" s="575"/>
      <c r="AC11" s="575"/>
      <c r="AD11" s="575"/>
      <c r="AE11" s="575"/>
      <c r="AF11" s="576"/>
      <c r="AG11" s="173"/>
      <c r="AH11" s="178"/>
      <c r="AI11" s="178"/>
      <c r="AJ11" s="173"/>
      <c r="AK11" s="145"/>
      <c r="AL11" s="196"/>
      <c r="AN11" s="347"/>
      <c r="AO11" s="349"/>
      <c r="AP11" s="427" t="str">
        <f ca="1">IF(AND(error&gt;0,CD9&lt;&gt;0),CD9,"")</f>
        <v/>
      </c>
      <c r="AQ11" s="427"/>
      <c r="AR11" s="427"/>
      <c r="AS11" s="427"/>
      <c r="AT11" s="427"/>
      <c r="AU11" s="427"/>
      <c r="AV11" s="427"/>
      <c r="AW11" s="349"/>
      <c r="AX11" s="347"/>
      <c r="BB11" s="112">
        <f>IF(X9="",0,1)</f>
        <v>0</v>
      </c>
      <c r="BC11" s="107">
        <f>IF(OR(BC9=0,BD9&lt;&gt;""),0,1)</f>
        <v>0</v>
      </c>
      <c r="BD11" s="103">
        <f>IF(X11="",15,IF(AND(BC11=1,ISERROR(BN11)),1,""))</f>
        <v>15</v>
      </c>
      <c r="BE11" s="103" t="str">
        <f>IF(AND(BC11=1,BD11=1),15,"")</f>
        <v/>
      </c>
      <c r="BG11" s="10"/>
      <c r="BH11" s="4"/>
      <c r="BI11" s="4"/>
      <c r="BL11" s="3" t="s">
        <v>16</v>
      </c>
      <c r="BM11" s="102">
        <f ca="1">IF(OR(X11="",ISERROR(BN11)),0,BN11)</f>
        <v>0</v>
      </c>
      <c r="BN11" s="103" t="e">
        <f ca="1">VLOOKUP(VLOOKUP(X11,INDIRECT(kod_produkt&amp;"_warianty"),1,FALSE),warNr,2,FALSE)</f>
        <v>#REF!</v>
      </c>
      <c r="BO11" s="4"/>
      <c r="BU11" s="3" t="s">
        <v>209</v>
      </c>
      <c r="BV11" s="104">
        <f>IF(AND(X11="",X15="",X17="",X19="",kursEURO="",actGuar="",actStart="",actEnd="",newGuar="",chgDateInp="",newEnd="",actAmtInp=""),1,0)</f>
        <v>0</v>
      </c>
    </row>
    <row r="12" spans="2:98" ht="3.6" customHeight="1" x14ac:dyDescent="0.15">
      <c r="B12" s="184"/>
      <c r="C12" s="250"/>
      <c r="D12" s="251"/>
      <c r="E12" s="251"/>
      <c r="F12" s="251"/>
      <c r="G12" s="251"/>
      <c r="H12" s="251"/>
      <c r="I12" s="251"/>
      <c r="J12" s="251"/>
      <c r="K12" s="251"/>
      <c r="L12" s="142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45"/>
      <c r="AL12" s="196"/>
      <c r="AN12" s="347"/>
      <c r="AO12" s="349"/>
      <c r="AP12" s="427"/>
      <c r="AQ12" s="427"/>
      <c r="AR12" s="427"/>
      <c r="AS12" s="427"/>
      <c r="AT12" s="427"/>
      <c r="AU12" s="427"/>
      <c r="AV12" s="427"/>
      <c r="AW12" s="349"/>
      <c r="AX12" s="347"/>
      <c r="BG12" s="10"/>
      <c r="CJ12" s="60"/>
    </row>
    <row r="13" spans="2:98" ht="14.1" customHeight="1" x14ac:dyDescent="0.15">
      <c r="B13" s="184"/>
      <c r="C13" s="250"/>
      <c r="D13" s="251"/>
      <c r="E13" s="251"/>
      <c r="F13" s="251"/>
      <c r="G13" s="251"/>
      <c r="H13" s="251"/>
      <c r="I13" s="251"/>
      <c r="J13" s="251"/>
      <c r="K13" s="251"/>
      <c r="L13" s="142"/>
      <c r="M13" s="173"/>
      <c r="N13" s="173"/>
      <c r="O13" s="173"/>
      <c r="P13" s="173"/>
      <c r="Q13" s="173"/>
      <c r="R13" s="173"/>
      <c r="S13" s="173"/>
      <c r="T13" s="173"/>
      <c r="U13" s="174"/>
      <c r="V13" s="174"/>
      <c r="W13" s="174" t="s">
        <v>279</v>
      </c>
      <c r="X13" s="574"/>
      <c r="Y13" s="575"/>
      <c r="Z13" s="575"/>
      <c r="AA13" s="575"/>
      <c r="AB13" s="575"/>
      <c r="AC13" s="575"/>
      <c r="AD13" s="575"/>
      <c r="AE13" s="575"/>
      <c r="AF13" s="576"/>
      <c r="AG13" s="173"/>
      <c r="AH13" s="173"/>
      <c r="AI13" s="173"/>
      <c r="AJ13" s="173"/>
      <c r="AK13" s="145"/>
      <c r="AL13" s="196"/>
      <c r="AN13" s="347"/>
      <c r="AO13" s="349"/>
      <c r="AP13" s="427"/>
      <c r="AQ13" s="427"/>
      <c r="AR13" s="427"/>
      <c r="AS13" s="427"/>
      <c r="AT13" s="427"/>
      <c r="AU13" s="427"/>
      <c r="AV13" s="427"/>
      <c r="AW13" s="349"/>
      <c r="AX13" s="347"/>
      <c r="BB13" s="112">
        <f ca="1">IF(OR(X11="",wariant=0,NOT(jestPomoc)),0,1)</f>
        <v>0</v>
      </c>
      <c r="BC13" s="107">
        <f>IF(OR(BC11=0,BD11&lt;&gt;""),0,1)</f>
        <v>0</v>
      </c>
      <c r="BD13" s="103" t="str">
        <f ca="1">IF(BB13=0,IF(X13&lt;&gt;"",21,""),
       IF(X13="",20,
                 IF(AND(BC13=1,ISERROR(BN13)),1,
                              IF(AND(wariant=7,nr_pomoc&lt;&gt;6),22,""))))</f>
        <v/>
      </c>
      <c r="BE13" s="103" t="str">
        <f ca="1">IF(AND(BC13=1,BD13=1),20,"")</f>
        <v/>
      </c>
      <c r="BG13" s="10"/>
      <c r="BL13" s="3" t="s">
        <v>315</v>
      </c>
      <c r="BM13" s="102">
        <f ca="1">IF(OR(X13="",ISERROR(BN13)),0,BN13)</f>
        <v>0</v>
      </c>
      <c r="BN13" s="103" t="e">
        <f ca="1">VLOOKUP(VLOOKUP(X13,IF(AND(OR(kod_produkt="POIR",kod_produkt="POPC"),wariant&lt;&gt;1),INDIRECT(kod_produkt&amp;"_pomoc_2"),INDIRECT(kod_produkt&amp;"_pomoc")),1,FALSE),rodzaj_nr,2,FALSE)</f>
        <v>#REF!</v>
      </c>
      <c r="CJ13" s="60"/>
    </row>
    <row r="14" spans="2:98" ht="3.75" customHeight="1" x14ac:dyDescent="0.15">
      <c r="B14" s="184"/>
      <c r="C14" s="250"/>
      <c r="D14" s="251"/>
      <c r="E14" s="251"/>
      <c r="F14" s="251"/>
      <c r="G14" s="251"/>
      <c r="H14" s="251"/>
      <c r="I14" s="251"/>
      <c r="J14" s="251"/>
      <c r="K14" s="251"/>
      <c r="L14" s="142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45"/>
      <c r="AL14" s="196"/>
      <c r="AN14" s="347"/>
      <c r="AO14" s="349"/>
      <c r="AP14" s="427"/>
      <c r="AQ14" s="427"/>
      <c r="AR14" s="427"/>
      <c r="AS14" s="427"/>
      <c r="AT14" s="427"/>
      <c r="AU14" s="427"/>
      <c r="AV14" s="427"/>
      <c r="AW14" s="349"/>
      <c r="AX14" s="347"/>
      <c r="BG14" s="10"/>
    </row>
    <row r="15" spans="2:98" ht="14.25" customHeight="1" x14ac:dyDescent="0.15">
      <c r="B15" s="184"/>
      <c r="C15" s="250"/>
      <c r="D15" s="251"/>
      <c r="E15" s="251"/>
      <c r="F15" s="251"/>
      <c r="G15" s="251"/>
      <c r="H15" s="251"/>
      <c r="I15" s="251"/>
      <c r="J15" s="251"/>
      <c r="K15" s="251"/>
      <c r="L15" s="142"/>
      <c r="M15" s="173"/>
      <c r="N15" s="173"/>
      <c r="O15" s="174"/>
      <c r="P15" s="174"/>
      <c r="Q15" s="174"/>
      <c r="R15" s="174"/>
      <c r="S15" s="174"/>
      <c r="T15" s="174"/>
      <c r="U15" s="174"/>
      <c r="V15" s="174"/>
      <c r="W15" s="174" t="s">
        <v>43</v>
      </c>
      <c r="X15" s="577"/>
      <c r="Y15" s="578"/>
      <c r="Z15" s="578"/>
      <c r="AA15" s="578"/>
      <c r="AB15" s="578"/>
      <c r="AC15" s="578"/>
      <c r="AD15" s="578"/>
      <c r="AE15" s="579"/>
      <c r="AF15" s="173"/>
      <c r="AG15" s="173"/>
      <c r="AH15" s="173"/>
      <c r="AI15" s="173"/>
      <c r="AJ15" s="173"/>
      <c r="AK15" s="145"/>
      <c r="AL15" s="196"/>
      <c r="AN15" s="347"/>
      <c r="AO15" s="349"/>
      <c r="AP15" s="427"/>
      <c r="AQ15" s="427"/>
      <c r="AR15" s="427"/>
      <c r="AS15" s="427"/>
      <c r="AT15" s="427"/>
      <c r="AU15" s="427"/>
      <c r="AV15" s="427"/>
      <c r="AW15" s="349"/>
      <c r="AX15" s="347"/>
      <c r="BB15" s="107">
        <f ca="1">IF(AND(wariant&gt;0,OR(nr_pomoc=1,nr_pomoc=5,nr_pomoc=6)),1,0)</f>
        <v>0</v>
      </c>
      <c r="BC15" s="107">
        <f ca="1">IF(OR(BC13=0,BD13&lt;&gt;""),0,1)</f>
        <v>0</v>
      </c>
      <c r="BD15" s="103" t="str">
        <f ca="1">IF(BB15=0,IF(X15&lt;&gt;"",31,""),
      IF(X15="",30,IF(AND(BC15=1,ISERROR(BN15)),1,"")))</f>
        <v/>
      </c>
      <c r="BE15" s="103" t="str">
        <f ca="1">IF(AND(BC15=1,BD15=1),30,"")</f>
        <v/>
      </c>
      <c r="BG15" s="10"/>
      <c r="BH15" s="4"/>
      <c r="BI15" s="4"/>
      <c r="BL15" s="3" t="s">
        <v>207</v>
      </c>
      <c r="BM15" s="102">
        <f>IF(OR(X15="",ISERROR(BN15)),1,BN15)</f>
        <v>1</v>
      </c>
      <c r="BN15" s="103" t="e">
        <f>VLOOKUP(X15,typPomocyNr,2,FALSE)</f>
        <v>#N/A</v>
      </c>
      <c r="BO15" s="4"/>
    </row>
    <row r="16" spans="2:98" ht="3.75" customHeight="1" x14ac:dyDescent="0.15">
      <c r="B16" s="184"/>
      <c r="C16" s="250"/>
      <c r="D16" s="251"/>
      <c r="E16" s="251"/>
      <c r="F16" s="251"/>
      <c r="G16" s="251"/>
      <c r="H16" s="251"/>
      <c r="I16" s="251"/>
      <c r="J16" s="251"/>
      <c r="K16" s="251"/>
      <c r="L16" s="142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45"/>
      <c r="AL16" s="196"/>
      <c r="AN16" s="347"/>
      <c r="AO16" s="349"/>
      <c r="AP16" s="427"/>
      <c r="AQ16" s="427"/>
      <c r="AR16" s="427"/>
      <c r="AS16" s="427"/>
      <c r="AT16" s="427"/>
      <c r="AU16" s="427"/>
      <c r="AV16" s="427"/>
      <c r="AW16" s="349"/>
      <c r="AX16" s="347"/>
      <c r="BG16" s="10"/>
    </row>
    <row r="17" spans="2:87" ht="14.25" customHeight="1" x14ac:dyDescent="0.15">
      <c r="B17" s="184"/>
      <c r="C17" s="250"/>
      <c r="D17" s="251"/>
      <c r="E17" s="251"/>
      <c r="F17" s="251"/>
      <c r="G17" s="251"/>
      <c r="H17" s="251"/>
      <c r="I17" s="251"/>
      <c r="J17" s="251"/>
      <c r="K17" s="251"/>
      <c r="L17" s="142"/>
      <c r="M17" s="173"/>
      <c r="N17" s="173"/>
      <c r="O17" s="174"/>
      <c r="P17" s="174"/>
      <c r="Q17" s="174"/>
      <c r="R17" s="174"/>
      <c r="S17" s="174"/>
      <c r="T17" s="174"/>
      <c r="U17" s="174"/>
      <c r="V17" s="174"/>
      <c r="W17" s="174" t="s">
        <v>139</v>
      </c>
      <c r="X17" s="577"/>
      <c r="Y17" s="578"/>
      <c r="Z17" s="578"/>
      <c r="AA17" s="578"/>
      <c r="AB17" s="578"/>
      <c r="AC17" s="578"/>
      <c r="AD17" s="578"/>
      <c r="AE17" s="579"/>
      <c r="AF17" s="173"/>
      <c r="AG17" s="173"/>
      <c r="AH17" s="173"/>
      <c r="AI17" s="173"/>
      <c r="AJ17" s="173"/>
      <c r="AK17" s="145"/>
      <c r="AL17" s="196"/>
      <c r="AN17" s="347"/>
      <c r="AO17" s="349"/>
      <c r="AP17" s="427"/>
      <c r="AQ17" s="427"/>
      <c r="AR17" s="427"/>
      <c r="AS17" s="427"/>
      <c r="AT17" s="427"/>
      <c r="AU17" s="427"/>
      <c r="AV17" s="427"/>
      <c r="AW17" s="349"/>
      <c r="AX17" s="347"/>
      <c r="BB17" s="112">
        <f ca="1">IF(OR(X9="",wariant=7,kod_produkt="LGL"),0,1)</f>
        <v>0</v>
      </c>
      <c r="BC17" s="107">
        <f ca="1">IF(OR(BC15=0,BD15&lt;&gt;""),0,1)</f>
        <v>0</v>
      </c>
      <c r="BD17" s="103" t="str">
        <f ca="1">IF(BB17=0,IF(X17&lt;&gt;"",41,""),
      IF(X17="",40,IF(AND(BC17=1,ISERROR(BN17)),1,"")))</f>
        <v/>
      </c>
      <c r="BE17" s="103" t="str">
        <f ca="1">IF(AND(BC17=1,BD17=1),40,"")</f>
        <v/>
      </c>
      <c r="BG17" s="10"/>
      <c r="BH17" s="4"/>
      <c r="BI17" s="4"/>
      <c r="BL17" s="3" t="s">
        <v>142</v>
      </c>
      <c r="BM17" s="102">
        <f ca="1">IF(OR(X17="",ISERROR(BN17)),2,BN17)</f>
        <v>2</v>
      </c>
      <c r="BN17" s="103" t="e">
        <f ca="1">IF(kod_produkt="LGL",1,VLOOKUP(VLOOKUP(X17,INDIRECT(kod_produkt&amp;"_kredyt"&amp;IF(AND(OR(kod_produkt="POIR",kod_produkt="FENG"),nr_pomoc=3),"_RPI",IF(wariant=1,"_N",""))),1,FALSE),typyKredytuNr,2,FALSE))</f>
        <v>#REF!</v>
      </c>
      <c r="BO17" s="4"/>
      <c r="BQ17" s="3" t="s">
        <v>211</v>
      </c>
      <c r="BR17" s="608" t="str">
        <f>IF(X17="",INDEX(parTypPomoc,2,1),X17)</f>
        <v>obrotowy nieodnawialny</v>
      </c>
      <c r="BS17" s="609"/>
      <c r="BT17" s="609"/>
      <c r="BU17" s="609"/>
    </row>
    <row r="18" spans="2:87" ht="3.75" customHeight="1" x14ac:dyDescent="0.15">
      <c r="B18" s="184"/>
      <c r="C18" s="250"/>
      <c r="D18" s="251"/>
      <c r="E18" s="251"/>
      <c r="F18" s="251"/>
      <c r="G18" s="251"/>
      <c r="H18" s="251"/>
      <c r="I18" s="251"/>
      <c r="J18" s="251"/>
      <c r="K18" s="251"/>
      <c r="L18" s="142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45"/>
      <c r="AL18" s="196"/>
      <c r="AN18" s="347"/>
      <c r="AO18" s="349"/>
      <c r="AP18" s="427"/>
      <c r="AQ18" s="427"/>
      <c r="AR18" s="427"/>
      <c r="AS18" s="427"/>
      <c r="AT18" s="427"/>
      <c r="AU18" s="427"/>
      <c r="AV18" s="427"/>
      <c r="AW18" s="349"/>
      <c r="AX18" s="347"/>
      <c r="BG18" s="10"/>
    </row>
    <row r="19" spans="2:87" ht="14.25" customHeight="1" x14ac:dyDescent="0.15">
      <c r="B19" s="184"/>
      <c r="C19" s="250"/>
      <c r="D19" s="251"/>
      <c r="E19" s="251"/>
      <c r="F19" s="251"/>
      <c r="G19" s="251"/>
      <c r="H19" s="251"/>
      <c r="I19" s="251"/>
      <c r="J19" s="251"/>
      <c r="K19" s="251"/>
      <c r="L19" s="142"/>
      <c r="M19" s="173"/>
      <c r="N19" s="173"/>
      <c r="O19" s="175"/>
      <c r="P19" s="175"/>
      <c r="Q19" s="175"/>
      <c r="R19" s="175"/>
      <c r="S19" s="175"/>
      <c r="T19" s="175"/>
      <c r="U19" s="175"/>
      <c r="V19" s="175"/>
      <c r="W19" s="175" t="s">
        <v>44</v>
      </c>
      <c r="X19" s="498"/>
      <c r="Y19" s="499"/>
      <c r="Z19" s="499"/>
      <c r="AA19" s="500"/>
      <c r="AB19" s="173"/>
      <c r="AC19" s="173"/>
      <c r="AD19" s="173"/>
      <c r="AE19" s="173"/>
      <c r="AF19" s="173"/>
      <c r="AG19" s="173"/>
      <c r="AH19" s="173"/>
      <c r="AI19" s="173"/>
      <c r="AJ19" s="173"/>
      <c r="AK19" s="145"/>
      <c r="AL19" s="196"/>
      <c r="AN19" s="347"/>
      <c r="AO19" s="349"/>
      <c r="AP19" s="427"/>
      <c r="AQ19" s="427"/>
      <c r="AR19" s="427"/>
      <c r="AS19" s="427"/>
      <c r="AT19" s="427"/>
      <c r="AU19" s="427"/>
      <c r="AV19" s="427"/>
      <c r="AW19" s="349"/>
      <c r="AX19" s="347"/>
      <c r="BB19" s="107">
        <f ca="1">IF(AND(wariant&gt;0,OR(nr_pomoc=1,nr_pomoc=5,nr_pomoc=6)),1,0)</f>
        <v>0</v>
      </c>
      <c r="BC19" s="107">
        <f ca="1">IF(OR(BC17=0,BD17&lt;&gt;""),0,1)</f>
        <v>0</v>
      </c>
      <c r="BD19" s="103" t="str">
        <f ca="1">IF(BB19=0,IF(X19&lt;&gt;"",44,""),IF(AND(wariant&gt;0,X19=""),45,
              IF(AND(X19&lt;&gt;"",NOT(ISNUMBER(X19))),1,
                         IF(X19&gt;=BV23,46,""))))</f>
        <v/>
      </c>
      <c r="BE19" s="103" t="str">
        <f ca="1">IF(AND(BC19=1,BD19=1),45,"")</f>
        <v/>
      </c>
      <c r="BG19" s="10"/>
      <c r="BH19" s="6"/>
      <c r="BI19" s="6"/>
      <c r="BL19" s="3" t="s">
        <v>199</v>
      </c>
      <c r="BM19" s="103">
        <f ca="1">IF(OR(BM39&lt;=VLOOKUP(sektor,parPomoc,5,FALSE),months&gt;VLOOKUP(sektor,parPomoc,4,FALSE)),2,1)</f>
        <v>2</v>
      </c>
      <c r="BO19" s="6"/>
      <c r="BQ19" s="3" t="s">
        <v>270</v>
      </c>
      <c r="BR19" s="103">
        <f ca="1">IF(BS19&gt;0,IF(OR(BM39&lt;=VLOOKUP(sektor,parPomoc,5,FALSE),BS19&gt;VLOOKUP(sektor,parPomoc,4,FALSE)),2,1),threshold)</f>
        <v>2</v>
      </c>
      <c r="BS19" s="103">
        <f ca="1">IF(OR(wariant=3,wariant=4),newMonths34,newMonths)</f>
        <v>0</v>
      </c>
    </row>
    <row r="20" spans="2:87" ht="8.25" customHeight="1" x14ac:dyDescent="0.15">
      <c r="B20" s="184"/>
      <c r="C20" s="250"/>
      <c r="D20" s="251"/>
      <c r="E20" s="251"/>
      <c r="F20" s="251"/>
      <c r="G20" s="251"/>
      <c r="H20" s="251"/>
      <c r="I20" s="251"/>
      <c r="J20" s="251"/>
      <c r="K20" s="251"/>
      <c r="L20" s="142"/>
      <c r="M20" s="173"/>
      <c r="N20" s="173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3"/>
      <c r="AG20" s="173"/>
      <c r="AH20" s="173"/>
      <c r="AI20" s="173"/>
      <c r="AJ20" s="173"/>
      <c r="AK20" s="145"/>
      <c r="AL20" s="196"/>
      <c r="AN20" s="421"/>
      <c r="AO20" s="420"/>
      <c r="AP20" s="420"/>
      <c r="AQ20" s="420"/>
      <c r="AR20" s="420"/>
      <c r="AS20" s="420"/>
      <c r="AT20" s="420"/>
      <c r="AU20" s="420"/>
      <c r="AV20" s="420"/>
      <c r="AW20" s="420"/>
      <c r="AX20" s="421"/>
      <c r="BE20" s="424" t="s">
        <v>391</v>
      </c>
      <c r="BG20" s="10"/>
      <c r="BL20" s="3"/>
      <c r="BM20" s="3"/>
      <c r="BN20" s="3"/>
      <c r="BO20" s="3"/>
      <c r="BP20" s="3"/>
    </row>
    <row r="21" spans="2:87" ht="0.75" customHeight="1" x14ac:dyDescent="0.15">
      <c r="B21" s="184"/>
      <c r="C21" s="250"/>
      <c r="D21" s="251"/>
      <c r="E21" s="251"/>
      <c r="F21" s="251"/>
      <c r="G21" s="251"/>
      <c r="H21" s="251"/>
      <c r="I21" s="251"/>
      <c r="J21" s="251"/>
      <c r="K21" s="251"/>
      <c r="L21" s="142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43"/>
      <c r="Y21" s="144"/>
      <c r="Z21" s="144"/>
      <c r="AA21" s="144"/>
      <c r="AB21" s="144"/>
      <c r="AC21" s="144"/>
      <c r="AD21" s="144"/>
      <c r="AE21" s="143"/>
      <c r="AF21" s="143"/>
      <c r="AG21" s="143"/>
      <c r="AH21" s="143"/>
      <c r="AI21" s="143"/>
      <c r="AJ21" s="143"/>
      <c r="AK21" s="145"/>
      <c r="AL21" s="196"/>
      <c r="AN21" s="421"/>
      <c r="AO21" s="420"/>
      <c r="AP21" s="420"/>
      <c r="AQ21" s="420"/>
      <c r="AR21" s="420"/>
      <c r="AS21" s="420"/>
      <c r="AT21" s="420"/>
      <c r="AU21" s="420"/>
      <c r="AV21" s="420"/>
      <c r="AW21" s="420"/>
      <c r="AX21" s="421"/>
      <c r="BE21" s="425"/>
      <c r="BG21" s="10"/>
    </row>
    <row r="22" spans="2:87" ht="8.25" customHeight="1" x14ac:dyDescent="0.15">
      <c r="B22" s="184"/>
      <c r="C22" s="250"/>
      <c r="D22" s="251"/>
      <c r="E22" s="251"/>
      <c r="F22" s="251"/>
      <c r="G22" s="251"/>
      <c r="H22" s="251"/>
      <c r="I22" s="251"/>
      <c r="J22" s="251"/>
      <c r="K22" s="251"/>
      <c r="L22" s="142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45"/>
      <c r="AL22" s="196"/>
      <c r="AN22" s="421"/>
      <c r="AO22" s="420"/>
      <c r="AP22" s="420"/>
      <c r="AQ22" s="420"/>
      <c r="AR22" s="420"/>
      <c r="AS22" s="420"/>
      <c r="AT22" s="420"/>
      <c r="AU22" s="420"/>
      <c r="AV22" s="420"/>
      <c r="AW22" s="420"/>
      <c r="AX22" s="421"/>
      <c r="BE22" s="426"/>
      <c r="BG22" s="10"/>
    </row>
    <row r="23" spans="2:87" ht="14.25" customHeight="1" x14ac:dyDescent="0.15">
      <c r="B23" s="184"/>
      <c r="C23" s="250"/>
      <c r="D23" s="251"/>
      <c r="E23" s="251"/>
      <c r="F23" s="251"/>
      <c r="G23" s="251"/>
      <c r="H23" s="251"/>
      <c r="I23" s="251"/>
      <c r="J23" s="251"/>
      <c r="K23" s="251"/>
      <c r="L23" s="142"/>
      <c r="M23" s="173"/>
      <c r="N23" s="173"/>
      <c r="O23" s="174"/>
      <c r="P23" s="174"/>
      <c r="Q23" s="174"/>
      <c r="R23" s="174"/>
      <c r="S23" s="174"/>
      <c r="T23" s="174"/>
      <c r="U23" s="174"/>
      <c r="V23" s="174"/>
      <c r="W23" s="174" t="str">
        <f>IF(kod_produkt="COSME","data zawarcia umowy: ","dzień udzielenia pomocy: ")</f>
        <v xml:space="preserve">dzień udzielenia pomocy: </v>
      </c>
      <c r="X23" s="583"/>
      <c r="Y23" s="584"/>
      <c r="Z23" s="584"/>
      <c r="AA23" s="584"/>
      <c r="AB23" s="564" t="str">
        <f ca="1">IFERROR(IF(AND(BW92,BD23="",X23&lt;&gt;""),IFERROR(VLOOKUP(aidDate,holidaysAidDate,2,FALSE)," niedziela"),""),"")</f>
        <v/>
      </c>
      <c r="AC23" s="565"/>
      <c r="AD23" s="565"/>
      <c r="AE23" s="565"/>
      <c r="AF23" s="565"/>
      <c r="AG23" s="565"/>
      <c r="AH23" s="565"/>
      <c r="AI23" s="173"/>
      <c r="AJ23" s="173"/>
      <c r="AK23" s="145"/>
      <c r="AL23" s="196"/>
      <c r="BB23" s="107">
        <f ca="1">IF(OR(kod_produkt="COSME",AND(wariant&gt;0,jestPomoc)),1,0)</f>
        <v>0</v>
      </c>
      <c r="BC23" s="107">
        <f ca="1">IF(OR(BC19=0,BD19&lt;&gt;""),0,1)</f>
        <v>0</v>
      </c>
      <c r="BD23" s="103" t="str">
        <f ca="1">IF(BB23=0,IF(X23&lt;&gt;"",49,""),IF(AND(OR(kod_produkt="COSME",wariant&gt;0),X23=""),48,""))</f>
        <v/>
      </c>
      <c r="BE23" s="103">
        <f ca="1">IFERROR(IF(AND(BW92,BD23=""),1,0),0)</f>
        <v>0</v>
      </c>
      <c r="BG23" s="10"/>
      <c r="BL23" s="3" t="s">
        <v>360</v>
      </c>
      <c r="BM23" s="605">
        <f ca="1">IF(X23="",TODAY(),X23)</f>
        <v>45370</v>
      </c>
      <c r="BN23" s="606"/>
      <c r="BU23" s="3" t="s">
        <v>203</v>
      </c>
      <c r="BV23" s="428">
        <f ca="1">ROUND(IF(OR(nr_pomoc=1,nr_pomoc=5),VLOOKUP(sektor,parPomoc,2,FALSE),BV31),2)</f>
        <v>99999999</v>
      </c>
      <c r="BW23" s="428"/>
      <c r="BX23" s="429"/>
    </row>
    <row r="24" spans="2:87" ht="3.75" customHeight="1" x14ac:dyDescent="0.15">
      <c r="B24" s="184"/>
      <c r="C24" s="250"/>
      <c r="D24" s="251"/>
      <c r="E24" s="251"/>
      <c r="F24" s="251"/>
      <c r="G24" s="251"/>
      <c r="H24" s="251"/>
      <c r="I24" s="251"/>
      <c r="J24" s="251"/>
      <c r="K24" s="251"/>
      <c r="L24" s="142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45"/>
      <c r="AL24" s="196"/>
      <c r="BG24" s="10"/>
    </row>
    <row r="25" spans="2:87" ht="14.25" customHeight="1" x14ac:dyDescent="0.15">
      <c r="B25" s="184"/>
      <c r="C25" s="250"/>
      <c r="D25" s="251"/>
      <c r="E25" s="251"/>
      <c r="F25" s="251"/>
      <c r="G25" s="251"/>
      <c r="H25" s="251"/>
      <c r="I25" s="251"/>
      <c r="J25" s="251"/>
      <c r="K25" s="251"/>
      <c r="L25" s="142"/>
      <c r="M25" s="173"/>
      <c r="N25" s="173"/>
      <c r="O25" s="174"/>
      <c r="P25" s="174"/>
      <c r="Q25" s="174"/>
      <c r="R25" s="174"/>
      <c r="S25" s="174"/>
      <c r="T25" s="174"/>
      <c r="U25" s="174"/>
      <c r="V25" s="174"/>
      <c r="W25" s="174" t="s">
        <v>358</v>
      </c>
      <c r="X25" s="571"/>
      <c r="Y25" s="572"/>
      <c r="Z25" s="5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45"/>
      <c r="AL25" s="196"/>
      <c r="AO25" s="181"/>
      <c r="AP25" s="607" t="str">
        <f ca="1">IF(CF37=1," Kwoty gwarancji dla poszczególnych okresów","")</f>
        <v/>
      </c>
      <c r="AQ25" s="607"/>
      <c r="AR25" s="607"/>
      <c r="AS25" s="607"/>
      <c r="AT25" s="607"/>
      <c r="AU25" s="607"/>
      <c r="AV25" s="607"/>
      <c r="AW25" s="181"/>
      <c r="BB25" s="107">
        <f ca="1">IF(AND(wariant&gt;0,jestPomoc),1,0)</f>
        <v>0</v>
      </c>
      <c r="BC25" s="107">
        <f ca="1">IF(OR(BC23=0,BD23&lt;&gt;""),0,1)</f>
        <v>0</v>
      </c>
      <c r="BD25" s="103" t="str">
        <f ca="1">IF(BB25=0,IF(X25&lt;&gt;"",51,""),
      IF(X25="",50,IF(NOT(ISNUMBER(X25)),1,"")))</f>
        <v/>
      </c>
      <c r="BG25" s="10"/>
      <c r="BL25" s="3" t="s">
        <v>361</v>
      </c>
      <c r="BM25" s="430">
        <f>IF(X25="",-1,X25)</f>
        <v>-1</v>
      </c>
      <c r="BN25" s="431"/>
      <c r="BU25" s="3" t="s">
        <v>200</v>
      </c>
      <c r="BV25" s="439" t="e">
        <f ca="1">IF(AND(OR(nr_pomoc=1,nr_pomoc=5),kod_produkt&lt;&gt;"POIR",kod_produkt&lt;&gt;"POPC"),VLOOKUP(sektor,parPomoc,6,FALSE),VLOOKUP(typKredytuOpis,parTypPomoc,5,FALSE))</f>
        <v>#N/A</v>
      </c>
      <c r="BW25" s="440"/>
      <c r="BZ25" s="601" t="s">
        <v>377</v>
      </c>
      <c r="CA25" s="602"/>
      <c r="CB25" s="602"/>
      <c r="CC25" s="602"/>
      <c r="CD25" s="9"/>
      <c r="CE25" s="9"/>
      <c r="CF25" s="9"/>
      <c r="CG25" s="9"/>
      <c r="CH25" s="9"/>
      <c r="CI25" s="339"/>
    </row>
    <row r="26" spans="2:87" ht="8.25" customHeight="1" x14ac:dyDescent="0.15">
      <c r="B26" s="184"/>
      <c r="C26" s="250"/>
      <c r="D26" s="251"/>
      <c r="E26" s="251"/>
      <c r="F26" s="251"/>
      <c r="G26" s="251"/>
      <c r="H26" s="251"/>
      <c r="I26" s="251"/>
      <c r="J26" s="251"/>
      <c r="K26" s="251"/>
      <c r="L26" s="142"/>
      <c r="M26" s="173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3"/>
      <c r="AG26" s="173"/>
      <c r="AH26" s="173"/>
      <c r="AI26" s="173"/>
      <c r="AJ26" s="173"/>
      <c r="AK26" s="145"/>
      <c r="AL26" s="196"/>
      <c r="AO26" s="181"/>
      <c r="AP26" s="607"/>
      <c r="AQ26" s="607"/>
      <c r="AR26" s="607"/>
      <c r="AS26" s="607"/>
      <c r="AT26" s="607"/>
      <c r="AU26" s="607"/>
      <c r="AV26" s="607"/>
      <c r="AW26" s="181"/>
      <c r="BG26" s="10"/>
      <c r="BL26" s="3"/>
      <c r="BM26" s="3"/>
      <c r="BN26" s="3"/>
      <c r="BO26" s="3"/>
      <c r="BP26" s="3"/>
      <c r="BZ26" s="603"/>
      <c r="CA26" s="604"/>
      <c r="CB26" s="604"/>
      <c r="CC26" s="604"/>
      <c r="CF26" s="422" t="s">
        <v>38</v>
      </c>
      <c r="CG26" s="422" t="s">
        <v>47</v>
      </c>
      <c r="CH26" s="598" t="s">
        <v>163</v>
      </c>
      <c r="CI26" s="337"/>
    </row>
    <row r="27" spans="2:87" ht="0.75" customHeight="1" x14ac:dyDescent="0.15">
      <c r="B27" s="184"/>
      <c r="C27" s="250"/>
      <c r="D27" s="251"/>
      <c r="E27" s="251"/>
      <c r="F27" s="251"/>
      <c r="G27" s="251"/>
      <c r="H27" s="251"/>
      <c r="I27" s="251"/>
      <c r="J27" s="251"/>
      <c r="K27" s="251"/>
      <c r="L27" s="142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43"/>
      <c r="Y27" s="144"/>
      <c r="Z27" s="144"/>
      <c r="AA27" s="144"/>
      <c r="AB27" s="144"/>
      <c r="AC27" s="144"/>
      <c r="AD27" s="144"/>
      <c r="AE27" s="143"/>
      <c r="AF27" s="143"/>
      <c r="AG27" s="143"/>
      <c r="AH27" s="143"/>
      <c r="AI27" s="143"/>
      <c r="AJ27" s="143"/>
      <c r="AK27" s="145"/>
      <c r="AL27" s="196"/>
      <c r="AO27" s="181"/>
      <c r="AP27" s="181"/>
      <c r="AQ27" s="181"/>
      <c r="AR27" s="181"/>
      <c r="AS27" s="181"/>
      <c r="AT27" s="181"/>
      <c r="AU27" s="181"/>
      <c r="AV27" s="181"/>
      <c r="AW27" s="181"/>
      <c r="BG27" s="10"/>
      <c r="BZ27" s="10"/>
      <c r="CF27" s="597"/>
      <c r="CG27" s="597"/>
      <c r="CH27" s="599"/>
      <c r="CI27" s="337"/>
    </row>
    <row r="28" spans="2:87" ht="8.25" customHeight="1" x14ac:dyDescent="0.15">
      <c r="B28" s="184"/>
      <c r="C28" s="250"/>
      <c r="D28" s="251"/>
      <c r="E28" s="251"/>
      <c r="F28" s="251"/>
      <c r="G28" s="251"/>
      <c r="H28" s="251"/>
      <c r="I28" s="251"/>
      <c r="J28" s="251"/>
      <c r="K28" s="251"/>
      <c r="L28" s="142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45"/>
      <c r="AL28" s="196"/>
      <c r="AO28" s="181"/>
      <c r="AP28" s="340"/>
      <c r="AQ28" s="315"/>
      <c r="AR28" s="315"/>
      <c r="AS28" s="315"/>
      <c r="AT28" s="315"/>
      <c r="AU28" s="315"/>
      <c r="AV28" s="341"/>
      <c r="AW28" s="181"/>
      <c r="BG28" s="10"/>
      <c r="BZ28" s="10"/>
      <c r="CF28" s="423"/>
      <c r="CG28" s="423"/>
      <c r="CH28" s="600"/>
      <c r="CI28" s="337"/>
    </row>
    <row r="29" spans="2:87" ht="14.25" customHeight="1" x14ac:dyDescent="0.15">
      <c r="B29" s="184"/>
      <c r="C29" s="250"/>
      <c r="D29" s="251"/>
      <c r="E29" s="251"/>
      <c r="F29" s="251"/>
      <c r="G29" s="251"/>
      <c r="H29" s="251"/>
      <c r="I29" s="251"/>
      <c r="J29" s="251"/>
      <c r="K29" s="251"/>
      <c r="L29" s="142"/>
      <c r="M29" s="173"/>
      <c r="N29" s="173"/>
      <c r="O29" s="175"/>
      <c r="P29" s="175"/>
      <c r="Q29" s="175"/>
      <c r="R29" s="175"/>
      <c r="S29" s="175"/>
      <c r="T29" s="175"/>
      <c r="U29" s="175"/>
      <c r="V29" s="175"/>
      <c r="W29" s="175" t="str">
        <f ca="1">IF(AND(wariant&gt;1,wariant&lt;&gt;7,wariant&lt;&gt;8), "aktualna ","") &amp; "kwota gwarancji w PLN: "</f>
        <v xml:space="preserve">kwota gwarancji w PLN: </v>
      </c>
      <c r="X29" s="498"/>
      <c r="Y29" s="499"/>
      <c r="Z29" s="499"/>
      <c r="AA29" s="499"/>
      <c r="AB29" s="500"/>
      <c r="AC29" s="173"/>
      <c r="AD29" s="173"/>
      <c r="AE29" s="179" t="s">
        <v>212</v>
      </c>
      <c r="AF29" s="585">
        <f ca="1">IF(OR(AND(wariant&lt;&gt;1, wariant&lt;&gt;3,wariant&lt;&gt;7),actGuar="",kursEURO&lt;=0),0,ROUND(actGuar/kursEURO,2))</f>
        <v>0</v>
      </c>
      <c r="AG29" s="586"/>
      <c r="AH29" s="586"/>
      <c r="AI29" s="587"/>
      <c r="AJ29" s="173"/>
      <c r="AK29" s="145"/>
      <c r="AL29" s="196"/>
      <c r="AM29" s="181"/>
      <c r="AN29" s="181"/>
      <c r="AO29" s="181"/>
      <c r="AP29" s="342"/>
      <c r="AQ29" s="179" t="s">
        <v>373</v>
      </c>
      <c r="AR29" s="317" t="str">
        <f ca="1">IF(CF29=0,"",actStart)</f>
        <v/>
      </c>
      <c r="AS29" s="329" t="s">
        <v>380</v>
      </c>
      <c r="AT29" s="317" t="str">
        <f ca="1">IF(CF29=0,"",CC29)</f>
        <v/>
      </c>
      <c r="AU29" s="313">
        <v>200000</v>
      </c>
      <c r="AV29" s="343"/>
      <c r="AW29" s="181"/>
      <c r="BB29" s="112">
        <f>IF(X9="",0,1)</f>
        <v>0</v>
      </c>
      <c r="BC29" s="107">
        <f ca="1">IF(OR(BC25=0,BD25&lt;&gt;""),0,1)</f>
        <v>0</v>
      </c>
      <c r="BD29" s="103">
        <f>IF(actGuar="",60,
              IF(NOT(ISNUMBER(actGuar)),1,
                       IF(AND(actGuar&gt;maxGuar,kod_produkt&lt;&gt;"KFG"),63,
                                  IF(AND(BD33&lt;&gt;87,guarEur&gt;BV31,wariant&lt;&gt;0),61,
                                              IF(OR(AND(wariant&lt;2,BD33=82),AND(wariant=3,guarEur&gt;ROUND(maxGuarEur,2),BD41&lt;&gt;119)),64,
                                                          IF(AND(X29=maxGuar,OR(wariant=2,wariant=6,wariant=5)),62,""))))))</f>
        <v>60</v>
      </c>
      <c r="BG29" s="10"/>
      <c r="BH29" s="6"/>
      <c r="BI29" s="6"/>
      <c r="BL29" s="3" t="s">
        <v>204</v>
      </c>
      <c r="BM29" s="428">
        <f>VLOOKUP(typKredytuOpis,parTypPomoc,4,FALSE)</f>
        <v>0</v>
      </c>
      <c r="BN29" s="428"/>
      <c r="BO29" s="429"/>
      <c r="BU29" s="3" t="s">
        <v>196</v>
      </c>
      <c r="BV29" s="430">
        <f>IF(AND(actStart&lt;&gt;"",actEnd&lt;&gt;""),INT(YEAR(actEnd+1)*12+MONTH(actEnd+1)-YEAR(actStart)*12-MONTH(actStart)+IF(DAY(actStart)&lt;DAY(actEnd+1),1,0)),0)</f>
        <v>0</v>
      </c>
      <c r="BW29" s="431"/>
      <c r="BZ29" s="330"/>
      <c r="CB29" s="3" t="s">
        <v>375</v>
      </c>
      <c r="CC29" s="605">
        <f>MIN(EDATE(actStart,MIN(months,12))-1,actEnd)</f>
        <v>-1</v>
      </c>
      <c r="CD29" s="606"/>
      <c r="CF29" s="112">
        <f ca="1">IF(AND(OR(DATE(YEAR(TODAY())-2,1,1)&gt;actStart,CC29&gt;TODAY())),0,1)</f>
        <v>0</v>
      </c>
      <c r="CG29" s="107">
        <v>1</v>
      </c>
      <c r="CH29" s="336" t="str">
        <f ca="1">IF(AND(wariant=7,CF29=0,AU29&lt;&gt;""),151,IF(AND(wariant=7,CF29=1,AU29=""),150,""))</f>
        <v/>
      </c>
      <c r="CI29" s="337"/>
    </row>
    <row r="30" spans="2:87" ht="3.75" customHeight="1" x14ac:dyDescent="0.15">
      <c r="B30" s="184"/>
      <c r="C30" s="250"/>
      <c r="D30" s="251"/>
      <c r="E30" s="251"/>
      <c r="F30" s="251"/>
      <c r="G30" s="251"/>
      <c r="H30" s="251"/>
      <c r="I30" s="251"/>
      <c r="J30" s="251"/>
      <c r="K30" s="251"/>
      <c r="L30" s="142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80"/>
      <c r="Y30" s="180"/>
      <c r="Z30" s="180"/>
      <c r="AA30" s="180"/>
      <c r="AB30" s="173"/>
      <c r="AC30" s="173"/>
      <c r="AD30" s="173"/>
      <c r="AE30" s="173"/>
      <c r="AF30" s="173"/>
      <c r="AG30" s="173"/>
      <c r="AH30" s="173"/>
      <c r="AI30" s="173"/>
      <c r="AJ30" s="173"/>
      <c r="AK30" s="145"/>
      <c r="AL30" s="196"/>
      <c r="AO30" s="181"/>
      <c r="AP30" s="342"/>
      <c r="AQ30" s="316"/>
      <c r="AR30" s="318"/>
      <c r="AS30" s="319"/>
      <c r="AT30" s="320"/>
      <c r="AU30" s="316"/>
      <c r="AV30" s="343"/>
      <c r="AW30" s="181"/>
      <c r="BG30" s="10"/>
      <c r="BZ30" s="330"/>
      <c r="CI30" s="337"/>
    </row>
    <row r="31" spans="2:87" ht="14.25" customHeight="1" x14ac:dyDescent="0.15">
      <c r="B31" s="184"/>
      <c r="C31" s="250"/>
      <c r="D31" s="251"/>
      <c r="E31" s="251"/>
      <c r="F31" s="251"/>
      <c r="G31" s="251"/>
      <c r="H31" s="251"/>
      <c r="I31" s="251"/>
      <c r="J31" s="251"/>
      <c r="K31" s="251"/>
      <c r="L31" s="142"/>
      <c r="M31" s="173"/>
      <c r="N31" s="173"/>
      <c r="O31" s="174"/>
      <c r="P31" s="174"/>
      <c r="Q31" s="174"/>
      <c r="R31" s="174"/>
      <c r="S31" s="174"/>
      <c r="T31" s="174"/>
      <c r="U31" s="174"/>
      <c r="V31" s="174"/>
      <c r="W31" s="174" t="str">
        <f ca="1">IF(wariant=8,"data uruchomienia: ","początek okresu ważności: ")</f>
        <v xml:space="preserve">początek okresu ważności: </v>
      </c>
      <c r="X31" s="583"/>
      <c r="Y31" s="584"/>
      <c r="Z31" s="584"/>
      <c r="AA31" s="584"/>
      <c r="AB31" s="564" t="str">
        <f ca="1">IFERROR(IF(AND(BW90,BD31="",actStart&lt;&gt;""),IFERROR(VLOOKUP(actStart,holidaysActStart,4,FALSE)," niedziela"),""),"")</f>
        <v/>
      </c>
      <c r="AC31" s="565"/>
      <c r="AD31" s="565"/>
      <c r="AE31" s="565"/>
      <c r="AF31" s="565"/>
      <c r="AG31" s="565"/>
      <c r="AH31" s="565"/>
      <c r="AI31" s="173"/>
      <c r="AJ31" s="173"/>
      <c r="AK31" s="145"/>
      <c r="AL31" s="196"/>
      <c r="AO31" s="181"/>
      <c r="AP31" s="342"/>
      <c r="AQ31" s="179" t="s">
        <v>373</v>
      </c>
      <c r="AR31" s="317" t="str">
        <f ca="1">IF(CF31=0,"",CC29+1)</f>
        <v/>
      </c>
      <c r="AS31" s="329" t="s">
        <v>380</v>
      </c>
      <c r="AT31" s="317" t="str">
        <f ca="1">IF(CF31=0,"",CC31)</f>
        <v/>
      </c>
      <c r="AU31" s="313"/>
      <c r="AV31" s="343"/>
      <c r="AW31" s="181"/>
      <c r="BB31" s="112">
        <f>IF(X9="",0,1)</f>
        <v>0</v>
      </c>
      <c r="BC31" s="107">
        <f ca="1">IF(OR(BC29=0,BD29&lt;&gt;""),0,1)</f>
        <v>0</v>
      </c>
      <c r="BD31" s="103">
        <f ca="1">IF(actStart="",70,
IF(NOT(ISNUMBER(actStart)),1,
IF(AND(wariant=0,actStart&gt;TODAY()),72,
IF(AND(wariant=0,YEAR(actStart)=YEAR(TODAY())),71,
IF(AND(kod_produkt&lt;&gt;"COSME",kod_produkt&lt;&gt;"LGL",wariant&gt;1,actStart&gt;aidDate),73,
IF(AND(kod_produkt="COSME",actStart&lt;aidDate),75,
IF(AND(OR(wariant=1,wariant=7,),actStart&lt;&gt;aidDate,jestPomoc),74,
IF(AND(wariant=8,actStart&lt;aidDate,jestPomoc),76,""))))))))</f>
        <v>70</v>
      </c>
      <c r="BE31" s="103">
        <f ca="1">IFERROR(IF(AND(BW90,BD31=""),1,0),0)</f>
        <v>0</v>
      </c>
      <c r="BG31" s="10"/>
      <c r="BH31" s="7"/>
      <c r="BI31" s="7"/>
      <c r="BL31" s="3" t="s">
        <v>205</v>
      </c>
      <c r="BM31" s="430" t="e">
        <f ca="1">VLOOKUP(typKredytuOpis,parTypPomoc,5,FALSE)</f>
        <v>#N/A</v>
      </c>
      <c r="BN31" s="431"/>
      <c r="BU31" s="3" t="s">
        <v>267</v>
      </c>
      <c r="BV31" s="428">
        <f ca="1">ROUND(IF(AND(OR(nr_pomoc=1,nr_pomoc=5),kod_produkt&lt;&gt;"POIR",kod_produkt&lt;&gt;"POPC"),VLOOKUP(sektor,parPomoc,IF(OR(wariant=3,wariant=4,threshold=1),3,5),FALSE),IF(jestPomoc,VLOOKUP(typKredytuOpis,parTypPomoc,4,FALSE)/kursEURO,99999999)),2)</f>
        <v>99999999</v>
      </c>
      <c r="BW31" s="428"/>
      <c r="BX31" s="429"/>
      <c r="BZ31" s="331"/>
      <c r="CB31" s="3" t="s">
        <v>374</v>
      </c>
      <c r="CC31" s="605">
        <f>MIN(EDATE(actStart,MIN(months,24))-1,actEnd)</f>
        <v>-1</v>
      </c>
      <c r="CD31" s="606"/>
      <c r="CE31" s="210"/>
      <c r="CF31" s="112">
        <f ca="1">IF(AND(CC29+1&lt;=actEnd,CC31&lt;TODAY(),CF29=1,CC31&gt;CC29),1,0)</f>
        <v>0</v>
      </c>
      <c r="CG31" s="107">
        <f ca="1">IF(OR(CG29=0,CH29&lt;&gt;""),0,1)</f>
        <v>1</v>
      </c>
      <c r="CH31" s="336" t="str">
        <f ca="1">IF(AND(wariant=7,CF31=0,AU31&lt;&gt;""),151,IF(AND(wariant=7,CF31=1,AU31=""),150,""))</f>
        <v/>
      </c>
      <c r="CI31" s="337"/>
    </row>
    <row r="32" spans="2:87" ht="3.75" customHeight="1" x14ac:dyDescent="0.15">
      <c r="B32" s="184"/>
      <c r="C32" s="250"/>
      <c r="D32" s="251"/>
      <c r="E32" s="251"/>
      <c r="F32" s="251"/>
      <c r="G32" s="251"/>
      <c r="H32" s="251"/>
      <c r="I32" s="251"/>
      <c r="J32" s="251"/>
      <c r="K32" s="251"/>
      <c r="L32" s="142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45"/>
      <c r="AL32" s="196"/>
      <c r="AO32" s="181"/>
      <c r="AP32" s="342"/>
      <c r="AQ32" s="316"/>
      <c r="AR32" s="318"/>
      <c r="AS32" s="319"/>
      <c r="AT32" s="320"/>
      <c r="AU32" s="316"/>
      <c r="AV32" s="343"/>
      <c r="AW32" s="181"/>
      <c r="BG32" s="10"/>
      <c r="BZ32" s="330"/>
      <c r="CI32" s="337"/>
    </row>
    <row r="33" spans="2:87" ht="14.25" customHeight="1" x14ac:dyDescent="0.15">
      <c r="B33" s="184"/>
      <c r="C33" s="250"/>
      <c r="D33" s="251"/>
      <c r="E33" s="251"/>
      <c r="F33" s="251"/>
      <c r="G33" s="251"/>
      <c r="H33" s="251"/>
      <c r="I33" s="251"/>
      <c r="J33" s="251"/>
      <c r="K33" s="251"/>
      <c r="L33" s="142"/>
      <c r="M33" s="173"/>
      <c r="N33" s="173"/>
      <c r="O33" s="174"/>
      <c r="P33" s="174"/>
      <c r="Q33" s="174"/>
      <c r="R33" s="174"/>
      <c r="S33" s="174"/>
      <c r="T33" s="174"/>
      <c r="U33" s="174"/>
      <c r="V33" s="174"/>
      <c r="W33" s="174" t="str">
        <f ca="1">IF(AND(wariant&gt;1,wariant&lt;&gt;7,wariant&lt;&gt;8), "aktualny ","") &amp; "koniec okresu ważności: "</f>
        <v xml:space="preserve">koniec okresu ważności: </v>
      </c>
      <c r="X33" s="580"/>
      <c r="Y33" s="581"/>
      <c r="Z33" s="581"/>
      <c r="AA33" s="582"/>
      <c r="AB33" s="173"/>
      <c r="AC33" s="173"/>
      <c r="AD33" s="173"/>
      <c r="AE33" s="173"/>
      <c r="AF33" s="173"/>
      <c r="AG33" s="179" t="s">
        <v>37</v>
      </c>
      <c r="AH33" s="566" t="str">
        <f ca="1">IF(OR(actEnd="",actStart="",months&lt;=0,wariant=0),"",IF(wariant&lt;&gt;8,months,months_LGL))</f>
        <v/>
      </c>
      <c r="AI33" s="567"/>
      <c r="AJ33" s="173"/>
      <c r="AK33" s="145"/>
      <c r="AL33" s="196"/>
      <c r="AO33" s="181"/>
      <c r="AP33" s="342"/>
      <c r="AQ33" s="179" t="s">
        <v>373</v>
      </c>
      <c r="AR33" s="317" t="str">
        <f ca="1">IF(CF33=0,"",CC31+1)</f>
        <v/>
      </c>
      <c r="AS33" s="329" t="s">
        <v>380</v>
      </c>
      <c r="AT33" s="317" t="str">
        <f ca="1">IF(CF33=0,"",CC33)</f>
        <v/>
      </c>
      <c r="AU33" s="313"/>
      <c r="AV33" s="343"/>
      <c r="AW33" s="181"/>
      <c r="BB33" s="112">
        <f>IF(X9="",0,1)</f>
        <v>0</v>
      </c>
      <c r="BC33" s="107">
        <f ca="1">IF(OR(BC31=0,BD31&lt;&gt;""),0,1)</f>
        <v>0</v>
      </c>
      <c r="BD33" s="103">
        <f ca="1">IF(actEnd="",80,
              IF(NOT(ISNUMBER(actEnd)),1,
                          IF(actEnd&lt;=actStart,81,
                                      IF(months&gt;maxMonths,87,
                                                 IF(AND(months&gt;maxMonths,threshold&lt;&gt;2, months&lt;=maxMonthsThreshold2),82,
                                                           IF(AND(kwotaPomocyEUR&gt;pomocMax,wariant=1),83,
                                                                       IF(AND(wariant=0,actEnd&lt;=repDate),IF(actEnd&lt;TODAY(),84,85),
                                                                                   IF(AND(wariant&gt;2,wariant&lt;6,monthOneDayLater&gt;maxMonths,threshold=2),86,""))))))))</f>
        <v>80</v>
      </c>
      <c r="BG33" s="10"/>
      <c r="BL33" s="3" t="s">
        <v>37</v>
      </c>
      <c r="BM33" s="430">
        <f>IF(AND(actStart&lt;&gt;"",actEnd&lt;&gt;""),INT(YEAR(actEnd)*12+MONTH(actEnd)-YEAR(actStart)*12-MONTH(actStart)+IF(DAY(actStart)&lt;DAY(actEnd),1,0)),0)</f>
        <v>0</v>
      </c>
      <c r="BN33" s="431"/>
      <c r="BO33" s="103">
        <f>IF(AND(X23&lt;&gt;"",actEnd&lt;&gt;""),INT(YEAR(actEnd)*12+MONTH(actEnd)-YEAR(X23)*12-MONTH(X23)+IF(DAY(X23)&lt;DAY(actEnd),1,0)),0)</f>
        <v>0</v>
      </c>
      <c r="BU33" s="3" t="s">
        <v>271</v>
      </c>
      <c r="BV33" s="428">
        <f ca="1">ROUND(IF(AND(OR(nr_pomoc=1,nr_pomoc=5),kod_produkt&lt;&gt;"POIR",kod_produkt&lt;&gt;"POPC"),VLOOKUP(sektor,parPomoc,IF(thresholdNew=1,3,5),FALSE),IF(jestPomoc,VLOOKUP(typKredytuOpis,parTypPomoc,4,FALSE)/kursEURO,99999999)),2)</f>
        <v>99999999</v>
      </c>
      <c r="BW33" s="428"/>
      <c r="BX33" s="429"/>
      <c r="BZ33" s="331"/>
      <c r="CB33" s="3" t="s">
        <v>376</v>
      </c>
      <c r="CC33" s="605">
        <f>MIN(EDATE(actStart,MIN(months,36))-1,actEnd)</f>
        <v>-1</v>
      </c>
      <c r="CD33" s="606"/>
      <c r="CE33" s="210"/>
      <c r="CF33" s="112">
        <f ca="1">IF(AND(CC31+1&lt;=actEnd,CC33&lt;TODAY(),CF29=1,CC33&gt;CC31),1,0)</f>
        <v>0</v>
      </c>
      <c r="CG33" s="107">
        <f ca="1">IF(OR(CG31=0,CH31&lt;&gt;""),0,1)</f>
        <v>1</v>
      </c>
      <c r="CH33" s="336" t="str">
        <f ca="1">IF(AND(wariant=7,CF33=0,AU33&lt;&gt;""),151,IF(AND(wariant=7,CF33=1,AU33=""),150,""))</f>
        <v/>
      </c>
      <c r="CI33" s="337"/>
    </row>
    <row r="34" spans="2:87" ht="8.25" customHeight="1" x14ac:dyDescent="0.15">
      <c r="B34" s="184"/>
      <c r="C34" s="250"/>
      <c r="D34" s="251"/>
      <c r="E34" s="251"/>
      <c r="F34" s="251"/>
      <c r="G34" s="251"/>
      <c r="H34" s="251"/>
      <c r="I34" s="251"/>
      <c r="J34" s="251"/>
      <c r="K34" s="251"/>
      <c r="L34" s="142"/>
      <c r="M34" s="173"/>
      <c r="N34" s="173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3"/>
      <c r="AG34" s="173"/>
      <c r="AH34" s="173"/>
      <c r="AI34" s="173"/>
      <c r="AJ34" s="173"/>
      <c r="AK34" s="145"/>
      <c r="AL34" s="196"/>
      <c r="AO34" s="181"/>
      <c r="AP34" s="344"/>
      <c r="AQ34" s="345"/>
      <c r="AR34" s="345"/>
      <c r="AS34" s="345"/>
      <c r="AT34" s="345"/>
      <c r="AU34" s="345"/>
      <c r="AV34" s="346"/>
      <c r="AW34" s="181"/>
      <c r="BG34" s="10"/>
      <c r="BL34" s="3"/>
      <c r="BM34" s="3"/>
      <c r="BN34" s="3"/>
      <c r="BO34" s="3"/>
      <c r="BP34" s="3"/>
      <c r="BZ34" s="331"/>
      <c r="CI34" s="337"/>
    </row>
    <row r="35" spans="2:87" ht="0.75" customHeight="1" x14ac:dyDescent="0.15">
      <c r="B35" s="184"/>
      <c r="C35" s="250"/>
      <c r="D35" s="251"/>
      <c r="E35" s="251"/>
      <c r="F35" s="251"/>
      <c r="G35" s="251"/>
      <c r="H35" s="251"/>
      <c r="I35" s="251"/>
      <c r="J35" s="251"/>
      <c r="K35" s="251"/>
      <c r="L35" s="142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43"/>
      <c r="Y35" s="144"/>
      <c r="Z35" s="144"/>
      <c r="AA35" s="144"/>
      <c r="AB35" s="144"/>
      <c r="AC35" s="144"/>
      <c r="AD35" s="144"/>
      <c r="AE35" s="143"/>
      <c r="AF35" s="143"/>
      <c r="AG35" s="143"/>
      <c r="AH35" s="143"/>
      <c r="AI35" s="143"/>
      <c r="AJ35" s="143"/>
      <c r="AK35" s="145"/>
      <c r="AL35" s="196"/>
      <c r="AO35" s="181"/>
      <c r="AP35" s="314"/>
      <c r="AQ35" s="314"/>
      <c r="AR35" s="314"/>
      <c r="AS35" s="314"/>
      <c r="AT35" s="314"/>
      <c r="AU35" s="314"/>
      <c r="AV35" s="314"/>
      <c r="AW35" s="181"/>
      <c r="BG35" s="10"/>
      <c r="BZ35" s="331"/>
      <c r="CI35" s="337"/>
    </row>
    <row r="36" spans="2:87" ht="8.25" customHeight="1" x14ac:dyDescent="0.15">
      <c r="B36" s="184"/>
      <c r="C36" s="250"/>
      <c r="D36" s="251"/>
      <c r="E36" s="251"/>
      <c r="F36" s="251"/>
      <c r="G36" s="251"/>
      <c r="H36" s="251"/>
      <c r="I36" s="251"/>
      <c r="J36" s="251"/>
      <c r="K36" s="251"/>
      <c r="L36" s="142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45"/>
      <c r="AL36" s="196"/>
      <c r="AO36" s="181"/>
      <c r="AP36" s="181"/>
      <c r="AQ36" s="181"/>
      <c r="AR36" s="181"/>
      <c r="AS36" s="181"/>
      <c r="AT36" s="181"/>
      <c r="AU36" s="181"/>
      <c r="AV36" s="181"/>
      <c r="AW36" s="181"/>
      <c r="BG36" s="10"/>
      <c r="BZ36" s="331"/>
      <c r="CI36" s="337"/>
    </row>
    <row r="37" spans="2:87" ht="14.25" customHeight="1" x14ac:dyDescent="0.15">
      <c r="B37" s="184"/>
      <c r="C37" s="250"/>
      <c r="D37" s="251"/>
      <c r="E37" s="251"/>
      <c r="F37" s="251"/>
      <c r="G37" s="251"/>
      <c r="H37" s="251"/>
      <c r="I37" s="251"/>
      <c r="J37" s="251"/>
      <c r="K37" s="251"/>
      <c r="L37" s="142"/>
      <c r="M37" s="173"/>
      <c r="N37" s="173"/>
      <c r="O37" s="175"/>
      <c r="P37" s="312"/>
      <c r="Q37" s="312"/>
      <c r="R37" s="312"/>
      <c r="S37" s="312"/>
      <c r="T37" s="312"/>
      <c r="U37" s="312"/>
      <c r="V37" s="312"/>
      <c r="W37" s="175" t="s">
        <v>45</v>
      </c>
      <c r="X37" s="498"/>
      <c r="Y37" s="499"/>
      <c r="Z37" s="499"/>
      <c r="AA37" s="499"/>
      <c r="AB37" s="500"/>
      <c r="AC37" s="173"/>
      <c r="AD37" s="173"/>
      <c r="AE37" s="179" t="s">
        <v>212</v>
      </c>
      <c r="AF37" s="585">
        <f ca="1">IF(OR(wariant&lt;2,newGuar="",kursEURO&lt;=0),0,ROUND(newGuar/kursEURO,2))</f>
        <v>0</v>
      </c>
      <c r="AG37" s="586"/>
      <c r="AH37" s="586"/>
      <c r="AI37" s="587"/>
      <c r="AJ37" s="173"/>
      <c r="AK37" s="173"/>
      <c r="AL37" s="196"/>
      <c r="AO37" s="187"/>
      <c r="AP37" s="187"/>
      <c r="AQ37" s="187"/>
      <c r="AR37" s="187"/>
      <c r="AS37" s="187"/>
      <c r="AT37" s="187"/>
      <c r="AU37" s="187"/>
      <c r="AV37" s="187"/>
      <c r="AW37" s="187"/>
      <c r="BB37" s="107">
        <f ca="1">IF(AND(OR(wariant=2,wariant&gt;3),wariant&lt;&gt;7,wariant&lt;&gt;8),1,0)</f>
        <v>0</v>
      </c>
      <c r="BC37" s="107">
        <f ca="1">IF(OR(BC33=0,BD33&lt;&gt;""),0,1)</f>
        <v>0</v>
      </c>
      <c r="BD37" s="103" t="str">
        <f ca="1">IF(AND(NOT(ISNUMBER(newGuar)),BB37=1),90,
              IF(AND(newGuar&lt;&gt;"",BB37=0),91,
                         IF(AND(BB37=1,actGuar&gt;=newGuar,OR(wariant=2,wariant&gt;=5)),92,
                                     IF(AND(BB37=1,actGuar&lt;=newGuar,wariant=4),93,
                                                 IF(BM37&gt;maxGuar,94,
                                                             IF(AND(ROUND(newGuarEur,2)&gt;ROUND(maxGuarEur,2),BD41="",wariant&lt;&gt;0),95,
                                                                         IF(AND(BB37=1,BD41="",OR(ROUND(newGuarEur,2)&gt;ROUND(maxGuarEur,2),BD41=117)),96,"")))))))</f>
        <v/>
      </c>
      <c r="BG37" s="10"/>
      <c r="BL37" s="3" t="s">
        <v>40</v>
      </c>
      <c r="BM37" s="428">
        <f ca="1">IF(BB37=1,newGuar,actGuar)</f>
        <v>0</v>
      </c>
      <c r="BN37" s="428"/>
      <c r="BO37" s="429"/>
      <c r="BP37" s="6"/>
      <c r="BQ37" s="6"/>
      <c r="BR37" s="6"/>
      <c r="BS37" s="6"/>
      <c r="BZ37" s="331"/>
      <c r="CF37" s="104">
        <f ca="1">IF(AND(wariant=7,CF29=1,OR(error=0,error=CH37,error=47)),1,0)</f>
        <v>0</v>
      </c>
      <c r="CH37" s="336" t="str">
        <f ca="1">IF(AND(CF29=1,MIN(CH29:CH33)&gt;0),MIN(CH29:CH33),"")</f>
        <v/>
      </c>
      <c r="CI37" s="337"/>
    </row>
    <row r="38" spans="2:87" ht="3.75" customHeight="1" x14ac:dyDescent="0.15">
      <c r="B38" s="184"/>
      <c r="C38" s="250"/>
      <c r="D38" s="251"/>
      <c r="E38" s="251"/>
      <c r="F38" s="251"/>
      <c r="G38" s="251"/>
      <c r="H38" s="251"/>
      <c r="I38" s="251"/>
      <c r="J38" s="251"/>
      <c r="K38" s="251"/>
      <c r="L38" s="142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80"/>
      <c r="Y38" s="180"/>
      <c r="Z38" s="180"/>
      <c r="AA38" s="180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96"/>
      <c r="BG38" s="10"/>
      <c r="BZ38" s="332"/>
      <c r="CI38" s="338"/>
    </row>
    <row r="39" spans="2:87" ht="14.25" customHeight="1" x14ac:dyDescent="0.15">
      <c r="B39" s="184"/>
      <c r="C39" s="250"/>
      <c r="D39" s="251"/>
      <c r="E39" s="251"/>
      <c r="F39" s="251"/>
      <c r="G39" s="251"/>
      <c r="H39" s="251"/>
      <c r="I39" s="251"/>
      <c r="J39" s="251"/>
      <c r="K39" s="251"/>
      <c r="L39" s="142"/>
      <c r="M39" s="173"/>
      <c r="N39" s="173"/>
      <c r="O39" s="174"/>
      <c r="P39" s="174"/>
      <c r="Q39" s="174"/>
      <c r="R39" s="174"/>
      <c r="S39" s="174"/>
      <c r="T39" s="174"/>
      <c r="U39" s="174"/>
      <c r="V39" s="174"/>
      <c r="W39" s="174" t="str">
        <f ca="1">LOWER(VLOOKUP(wariant, chgDateDesc, 2, FALSE)) &amp; ": "</f>
        <v xml:space="preserve">data zmiany: </v>
      </c>
      <c r="X39" s="580"/>
      <c r="Y39" s="581"/>
      <c r="Z39" s="581"/>
      <c r="AA39" s="581"/>
      <c r="AB39" s="564" t="str">
        <f ca="1">IFERROR(IF(AND(BW91,BD39="",chgDateInp&lt;&gt;""),IFERROR(VLOOKUP(chgDateInp,holidaysChgDate,3,FALSE)," niedziela"),""),"")</f>
        <v/>
      </c>
      <c r="AC39" s="565"/>
      <c r="AD39" s="565"/>
      <c r="AE39" s="565"/>
      <c r="AF39" s="565"/>
      <c r="AG39" s="565"/>
      <c r="AH39" s="565"/>
      <c r="AI39" s="173"/>
      <c r="AJ39" s="173"/>
      <c r="AK39" s="173"/>
      <c r="AL39" s="196"/>
      <c r="BB39" s="107">
        <f ca="1">IF(OR(AND(wariant&lt;&gt;3,wariant&gt;1,wariant&lt;&gt;7,wariant&lt;&gt;8,jestPomoc),AND(wariant&gt;1,wariant&lt;&gt;7,wariant&lt;&gt;8,NOT(jestPomoc))),1,0)</f>
        <v>0</v>
      </c>
      <c r="BC39" s="107">
        <f ca="1">IF(OR(BC37=0,BD37&lt;&gt;""),0,1)</f>
        <v>0</v>
      </c>
      <c r="BD39" s="103" t="str">
        <f ca="1">IF(AND(NOT(ISNUMBER(chgDateInp)),BB39=1),100,
               IF(AND(chgDateInp&lt;&gt;"",BB39=0),101,
                           IF(AND(chgDateInp&lt;actStart,BB39=1),103,
                                       IF(AND(wariant=6,chgDateInp&gt;=actEnd,BB39=1),104,
                                                  IF(AND(wariant&gt;1,chgDateInp&lt;aidDate,wariant&lt;&gt;3,wariant&lt;&gt;7,wariant&lt;&gt;8,jestPomoc),105,
                                                              IF(AND(BB39=1,OR(chgDateInp&lt;actStart,chgDateInp&gt;IF(wariant&lt;&gt;6,actEnd,IF(BD41="",MIN(newEnd,actEnd),actEnd)))),102,""))))))</f>
        <v/>
      </c>
      <c r="BE39" s="103">
        <f ca="1">IFERROR(IF(AND(BW91,BD39=""),1,0),0)</f>
        <v>0</v>
      </c>
      <c r="BG39" s="10"/>
      <c r="BL39" s="3" t="s">
        <v>41</v>
      </c>
      <c r="BM39" s="428">
        <f ca="1">ROUND(IF(kursEURO&lt;&gt;0,ROUND(BM37/kursEURO,2),0),2)</f>
        <v>0</v>
      </c>
      <c r="BN39" s="428"/>
      <c r="BO39" s="429"/>
      <c r="BP39" s="6"/>
      <c r="BQ39" s="6"/>
      <c r="BR39" s="6"/>
      <c r="BS39" s="6"/>
      <c r="BU39" s="3" t="s">
        <v>168</v>
      </c>
      <c r="BV39" s="434">
        <f ca="1">IF(AND(wariant=3,jestPomoc),aidDate,IF(chgDateInp="",TODAY(),chgDateInp))</f>
        <v>45370</v>
      </c>
      <c r="BW39" s="434"/>
      <c r="BX39" s="435"/>
      <c r="BZ39" s="9"/>
      <c r="CA39" s="9"/>
      <c r="CB39" s="9"/>
      <c r="CC39" s="9"/>
      <c r="CD39" s="9"/>
      <c r="CE39" s="9"/>
      <c r="CF39" s="9"/>
      <c r="CG39" s="9"/>
      <c r="CH39" s="9"/>
      <c r="CI39" s="9"/>
    </row>
    <row r="40" spans="2:87" ht="3.75" customHeight="1" x14ac:dyDescent="0.15">
      <c r="B40" s="184"/>
      <c r="C40" s="250"/>
      <c r="D40" s="251"/>
      <c r="E40" s="251"/>
      <c r="F40" s="251"/>
      <c r="G40" s="251"/>
      <c r="H40" s="251"/>
      <c r="I40" s="251"/>
      <c r="J40" s="251"/>
      <c r="K40" s="251"/>
      <c r="L40" s="142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96"/>
      <c r="BG40" s="10"/>
    </row>
    <row r="41" spans="2:87" ht="14.25" customHeight="1" x14ac:dyDescent="0.15">
      <c r="B41" s="184"/>
      <c r="C41" s="250"/>
      <c r="D41" s="251"/>
      <c r="E41" s="251"/>
      <c r="F41" s="251"/>
      <c r="G41" s="251"/>
      <c r="H41" s="251"/>
      <c r="I41" s="251"/>
      <c r="J41" s="251"/>
      <c r="K41" s="251"/>
      <c r="L41" s="142"/>
      <c r="M41" s="173"/>
      <c r="N41" s="173"/>
      <c r="O41" s="174"/>
      <c r="P41" s="174"/>
      <c r="Q41" s="174"/>
      <c r="R41" s="174"/>
      <c r="S41" s="174"/>
      <c r="T41" s="174"/>
      <c r="U41" s="174"/>
      <c r="V41" s="174"/>
      <c r="W41" s="174" t="s">
        <v>46</v>
      </c>
      <c r="X41" s="580"/>
      <c r="Y41" s="581"/>
      <c r="Z41" s="581"/>
      <c r="AA41" s="582"/>
      <c r="AB41" s="173"/>
      <c r="AC41" s="173"/>
      <c r="AD41" s="173"/>
      <c r="AE41" s="173"/>
      <c r="AF41" s="173"/>
      <c r="AG41" s="179" t="s">
        <v>39</v>
      </c>
      <c r="AH41" s="568" t="str">
        <f ca="1">IF(OR(newEnd="",actStart="",newMonths&lt;=0),"",newMonths)</f>
        <v/>
      </c>
      <c r="AI41" s="569"/>
      <c r="AJ41" s="173"/>
      <c r="AK41" s="173"/>
      <c r="AL41" s="196"/>
      <c r="BB41" s="107">
        <f ca="1">IF(AND(wariant&gt;2,wariant&lt;&gt;7,wariant&lt;&gt;8),1,0)</f>
        <v>0</v>
      </c>
      <c r="BC41" s="107">
        <f ca="1">IF(OR(BC39=0,BD39&lt;&gt;""),0,1)</f>
        <v>0</v>
      </c>
      <c r="BD41" s="103" t="str">
        <f ca="1">IF(BB41=1,
               IF(newEnd="",110,
                          IF(actEnd&lt;=actStart,81,
                                      IF(AND(wariant&lt;&gt;6,newEnd&lt;=actEnd),112,
                                                 IF(AND(wariant=6,newEnd&gt;=actEnd),113,
                                                            IF(newMonths&gt;maxMonths,IF(OR(threshold=2,newMonths&gt;maxMonthsThreshold2),118,117),
                                                                  IF(AND(OR(nr_pomoc=1,nr_pomoc=5),kod_produkt&lt;&gt;"POIR",kod_produkt&lt;&gt;"POPC",BO41&gt;120),119,
                                                                              IF(newEnd&lt;=actStart,116,""))))))),
                                                                                         IF(newEnd&lt;&gt;"",111,""))</f>
        <v/>
      </c>
      <c r="BG41" s="10"/>
      <c r="BL41" s="3" t="s">
        <v>39</v>
      </c>
      <c r="BM41" s="430">
        <f ca="1">IF(wariant=2,months,BB41*INT(YEAR(newEnd)*12+MONTH(newEnd)-YEAR(actStart)*12-MONTH(actStart)+IF(DAY(actStart)&lt;DAY(newEnd),1,0)))</f>
        <v>0</v>
      </c>
      <c r="BN41" s="431"/>
      <c r="BO41" s="103">
        <f ca="1">newMonths-months</f>
        <v>0</v>
      </c>
      <c r="BS41" s="115" t="s">
        <v>215</v>
      </c>
      <c r="BT41" s="551" t="str">
        <f ca="1">DAY(repDate)&amp;" " &amp; VLOOKUP(MONTH(repDate),monthsGenitive,2,FALSE)&amp;" " &amp;YEAR(repDate)</f>
        <v>31 grudnia 2023</v>
      </c>
      <c r="BU41" s="552"/>
      <c r="BV41" s="552"/>
      <c r="BW41" s="552"/>
      <c r="BX41" s="553"/>
    </row>
    <row r="42" spans="2:87" ht="8.25" customHeight="1" x14ac:dyDescent="0.15">
      <c r="B42" s="184"/>
      <c r="C42" s="250"/>
      <c r="D42" s="251"/>
      <c r="E42" s="251"/>
      <c r="F42" s="251"/>
      <c r="G42" s="251"/>
      <c r="H42" s="251"/>
      <c r="I42" s="251"/>
      <c r="J42" s="251"/>
      <c r="K42" s="251"/>
      <c r="L42" s="142"/>
      <c r="M42" s="173"/>
      <c r="N42" s="173"/>
      <c r="O42" s="174"/>
      <c r="P42" s="174"/>
      <c r="Q42" s="174"/>
      <c r="R42" s="174"/>
      <c r="S42" s="174"/>
      <c r="T42" s="174"/>
      <c r="U42" s="174"/>
      <c r="V42" s="174"/>
      <c r="W42" s="174"/>
      <c r="X42" s="174" t="s">
        <v>392</v>
      </c>
      <c r="Y42" s="174"/>
      <c r="Z42" s="174"/>
      <c r="AA42" s="174"/>
      <c r="AB42" s="174"/>
      <c r="AC42" s="174"/>
      <c r="AD42" s="174"/>
      <c r="AE42" s="174"/>
      <c r="AF42" s="173"/>
      <c r="AG42" s="173"/>
      <c r="AH42" s="173"/>
      <c r="AI42" s="173"/>
      <c r="AJ42" s="173"/>
      <c r="AK42" s="173"/>
      <c r="AL42" s="196"/>
      <c r="BG42" s="10"/>
      <c r="BL42" s="3"/>
      <c r="BM42" s="3"/>
      <c r="BN42" s="3"/>
      <c r="BO42" s="3"/>
      <c r="BP42" s="3"/>
    </row>
    <row r="43" spans="2:87" ht="0.75" customHeight="1" x14ac:dyDescent="0.15">
      <c r="B43" s="184"/>
      <c r="C43" s="250"/>
      <c r="D43" s="251"/>
      <c r="E43" s="251"/>
      <c r="F43" s="251"/>
      <c r="G43" s="251"/>
      <c r="H43" s="251"/>
      <c r="I43" s="251"/>
      <c r="J43" s="251"/>
      <c r="K43" s="251"/>
      <c r="L43" s="143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43"/>
      <c r="Y43" s="144"/>
      <c r="Z43" s="144"/>
      <c r="AA43" s="144"/>
      <c r="AB43" s="144"/>
      <c r="AC43" s="144"/>
      <c r="AD43" s="144"/>
      <c r="AE43" s="143"/>
      <c r="AF43" s="143"/>
      <c r="AG43" s="143"/>
      <c r="AH43" s="143"/>
      <c r="AI43" s="143"/>
      <c r="AJ43" s="143"/>
      <c r="AK43" s="145"/>
      <c r="AL43" s="196"/>
      <c r="BG43" s="10"/>
    </row>
    <row r="44" spans="2:87" ht="8.25" customHeight="1" x14ac:dyDescent="0.15">
      <c r="B44" s="181"/>
      <c r="C44" s="250"/>
      <c r="D44" s="251"/>
      <c r="E44" s="251"/>
      <c r="F44" s="251"/>
      <c r="G44" s="251"/>
      <c r="H44" s="251"/>
      <c r="I44" s="251"/>
      <c r="J44" s="251"/>
      <c r="K44" s="251"/>
      <c r="L44" s="142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45"/>
      <c r="AL44" s="196"/>
      <c r="BG44" s="10"/>
    </row>
    <row r="45" spans="2:87" ht="14.25" customHeight="1" x14ac:dyDescent="0.15">
      <c r="B45" s="184"/>
      <c r="C45" s="250"/>
      <c r="D45" s="251"/>
      <c r="E45" s="251"/>
      <c r="F45" s="251"/>
      <c r="G45" s="251"/>
      <c r="H45" s="251"/>
      <c r="I45" s="251"/>
      <c r="J45" s="251"/>
      <c r="K45" s="251"/>
      <c r="L45" s="142"/>
      <c r="M45" s="173"/>
      <c r="N45" s="173"/>
      <c r="O45" s="174"/>
      <c r="P45" s="174"/>
      <c r="Q45" s="174"/>
      <c r="R45" s="174"/>
      <c r="S45" s="174"/>
      <c r="T45" s="177"/>
      <c r="U45" s="174"/>
      <c r="V45" s="174"/>
      <c r="W45" s="174"/>
      <c r="X45" s="174"/>
      <c r="Y45" s="174"/>
      <c r="Z45" s="174"/>
      <c r="AA45" s="174"/>
      <c r="AB45" s="174"/>
      <c r="AC45" s="175" t="str">
        <f ca="1">"podstawa wyliczania prowizji"&amp;IF(AND(error&gt;0,error&lt;&gt;122,error&lt;&gt;123,error&lt;&gt;140),"",IF(OR(actStart="",BB45=0),""," z "&amp; ppStartText))&amp;": "</f>
        <v xml:space="preserve">podstawa wyliczania prowizji: </v>
      </c>
      <c r="AD45" s="498"/>
      <c r="AE45" s="499"/>
      <c r="AF45" s="499"/>
      <c r="AG45" s="499"/>
      <c r="AH45" s="500"/>
      <c r="AI45" s="173"/>
      <c r="AJ45" s="173"/>
      <c r="AK45" s="145"/>
      <c r="AL45" s="196"/>
      <c r="BB45" s="107">
        <f ca="1">IF(MIN(BD11,BD15,BD17,BD19,BD25,BD29,BD31,BD33,BD37,BD39,BD41)&gt;0,
    0,
    IF(AND(
                           jestProwizja,
                           OR(
                                  AND(wariant&lt;&gt;1,wariant&lt;&gt;8,,rocznica=1),
                                  AND(rocznica=0,OR(AND(wariant=2,BF82&gt;0),AND(wariant=3,BE83&gt;0),AND(wariant=5,OR(BE85&gt;0,BF85&gt;0)),AND(wariant=6,BF86&gt;0)))),
                           actStart&lt;ppStart,typKredytu=2,
                          $BM$45&lt;realNewEnd),
               1,0))</f>
        <v>0</v>
      </c>
      <c r="BC45" s="107">
        <f ca="1">IF(OR(BC41=0,BD41&lt;&gt;""),0,1)</f>
        <v>0</v>
      </c>
      <c r="BD45" s="110" t="str">
        <f ca="1">IF(AND(actAmtInp&lt;&gt;"",BB45=0),120,
               IF(AND(actAmtInp="",BB45=1,repDate&gt;=ppStart),123,
               IF(AND(BB45=1,actAmtInp&lt;&gt;newGuar,chgDateInp=ppStart,OR(wariant=2,wariant&gt;3)),122,
               IF(AND(BB45=1,actAmtInp&gt;IF(AND(chgDate&lt;=BM45,BB37=1),newGuar,actGuar)),121,""))))</f>
        <v/>
      </c>
      <c r="BE45" s="111">
        <f ca="1">IF(AND(BB45=1,rocznica=1,actAmtInp=0),1,0)</f>
        <v>0</v>
      </c>
      <c r="BG45" s="10"/>
      <c r="BH45" s="7"/>
      <c r="BI45" s="7"/>
      <c r="BL45" s="3" t="s">
        <v>107</v>
      </c>
      <c r="BM45" s="434">
        <f ca="1">IF(ISERROR(ppStart),"",ppStart)</f>
        <v>45370</v>
      </c>
      <c r="BN45" s="434"/>
      <c r="BO45" s="435"/>
      <c r="BS45" s="3" t="s">
        <v>158</v>
      </c>
      <c r="BT45" s="432" t="str">
        <f ca="1">DAY(ppStart)&amp;" " &amp; VLOOKUP(MONTH(ppStart),monthsGenitive,2,FALSE)&amp;" " &amp;YEAR(ppStart)</f>
        <v>19 marca 2024</v>
      </c>
      <c r="BU45" s="432"/>
      <c r="BV45" s="432"/>
      <c r="BW45" s="432"/>
      <c r="BX45" s="433"/>
    </row>
    <row r="46" spans="2:87" ht="8.25" customHeight="1" x14ac:dyDescent="0.15">
      <c r="B46" s="184"/>
      <c r="C46" s="250"/>
      <c r="D46" s="251"/>
      <c r="E46" s="251"/>
      <c r="F46" s="251"/>
      <c r="G46" s="251"/>
      <c r="H46" s="251"/>
      <c r="I46" s="251"/>
      <c r="J46" s="251"/>
      <c r="K46" s="251"/>
      <c r="L46" s="142"/>
      <c r="M46" s="173"/>
      <c r="N46" s="173"/>
      <c r="O46" s="173"/>
      <c r="P46" s="173"/>
      <c r="Q46" s="174"/>
      <c r="R46" s="173"/>
      <c r="S46" s="173"/>
      <c r="T46" s="173"/>
      <c r="U46" s="173"/>
      <c r="V46" s="174"/>
      <c r="W46" s="174"/>
      <c r="X46" s="174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45"/>
      <c r="AL46" s="196"/>
      <c r="BG46" s="10"/>
    </row>
    <row r="47" spans="2:87" ht="0.75" customHeight="1" x14ac:dyDescent="0.15">
      <c r="B47" s="181"/>
      <c r="C47" s="167"/>
      <c r="D47" s="168"/>
      <c r="E47" s="168"/>
      <c r="F47" s="168"/>
      <c r="G47" s="168"/>
      <c r="H47" s="168"/>
      <c r="I47" s="168"/>
      <c r="J47" s="168"/>
      <c r="K47" s="168"/>
      <c r="L47" s="146"/>
      <c r="M47" s="147"/>
      <c r="N47" s="147"/>
      <c r="O47" s="147"/>
      <c r="P47" s="147"/>
      <c r="Q47" s="148"/>
      <c r="R47" s="147"/>
      <c r="S47" s="147"/>
      <c r="T47" s="147"/>
      <c r="U47" s="147"/>
      <c r="V47" s="148"/>
      <c r="W47" s="148"/>
      <c r="X47" s="148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5"/>
      <c r="AL47" s="181"/>
      <c r="BG47" s="10"/>
    </row>
    <row r="48" spans="2:87" ht="12.75" customHeight="1" x14ac:dyDescent="0.15">
      <c r="B48" s="181"/>
      <c r="C48" s="197"/>
      <c r="D48" s="197"/>
      <c r="E48" s="197"/>
      <c r="F48" s="197"/>
      <c r="G48" s="197"/>
      <c r="H48" s="197"/>
      <c r="I48" s="197"/>
      <c r="J48" s="197"/>
      <c r="K48" s="197"/>
      <c r="L48" s="198"/>
      <c r="M48" s="197"/>
      <c r="N48" s="197"/>
      <c r="O48" s="197"/>
      <c r="P48" s="197"/>
      <c r="Q48" s="198"/>
      <c r="R48" s="494"/>
      <c r="S48" s="494"/>
      <c r="T48" s="198"/>
      <c r="U48" s="198"/>
      <c r="V48" s="198"/>
      <c r="W48" s="198"/>
      <c r="X48" s="198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81"/>
      <c r="BG48" s="10"/>
      <c r="BK48" s="214"/>
      <c r="BL48" s="214"/>
      <c r="BM48" s="2" t="s">
        <v>332</v>
      </c>
      <c r="BO48" s="214"/>
      <c r="BP48" s="2" t="s">
        <v>333</v>
      </c>
      <c r="BQ48" s="214"/>
    </row>
    <row r="49" spans="2:87" ht="12.75" customHeight="1" x14ac:dyDescent="0.15">
      <c r="B49" s="181"/>
      <c r="C49" s="199"/>
      <c r="D49" s="199"/>
      <c r="E49" s="199"/>
      <c r="F49" s="199"/>
      <c r="G49" s="199"/>
      <c r="H49" s="299" t="str">
        <f ca="1">IF(BE49=0,"","wartość pomocy: ")</f>
        <v/>
      </c>
      <c r="I49" s="485" t="s">
        <v>254</v>
      </c>
      <c r="J49" s="486"/>
      <c r="K49" s="486"/>
      <c r="L49" s="486"/>
      <c r="M49" s="487"/>
      <c r="N49" s="485" t="s">
        <v>255</v>
      </c>
      <c r="O49" s="486"/>
      <c r="P49" s="486"/>
      <c r="Q49" s="487"/>
      <c r="R49" s="495"/>
      <c r="S49" s="495"/>
      <c r="T49" s="199"/>
      <c r="U49" s="199"/>
      <c r="V49" s="201" t="str">
        <f ca="1">IF(BE51=0,"","prowizja: ")</f>
        <v/>
      </c>
      <c r="W49" s="491" t="s">
        <v>251</v>
      </c>
      <c r="X49" s="491"/>
      <c r="Y49" s="491"/>
      <c r="Z49" s="491"/>
      <c r="AA49" s="491" t="s">
        <v>252</v>
      </c>
      <c r="AB49" s="491"/>
      <c r="AC49" s="491"/>
      <c r="AD49" s="491"/>
      <c r="AE49" s="491" t="s">
        <v>253</v>
      </c>
      <c r="AF49" s="491"/>
      <c r="AG49" s="491"/>
      <c r="AH49" s="491"/>
      <c r="AI49" s="181"/>
      <c r="AJ49" s="181"/>
      <c r="AK49" s="181"/>
      <c r="AL49" s="181"/>
      <c r="BB49" s="107">
        <f ca="1">IF(wariant&gt;0,1,0)</f>
        <v>0</v>
      </c>
      <c r="BC49" s="107">
        <v>0</v>
      </c>
      <c r="BD49" s="103"/>
      <c r="BE49" s="111">
        <f ca="1">IF(OR($I$51=0,error&gt;0,wariant=0),0,1)</f>
        <v>0</v>
      </c>
      <c r="BG49" s="10"/>
      <c r="BL49" s="3" t="s">
        <v>17</v>
      </c>
      <c r="BM49" s="436">
        <f ca="1">IF(kod_produkt="COSME",0,IF(ISERROR(SUM(BE68:BE73,BK68:BK73)),0,MAX(ROUND(SUM(BE68:BE73,BK68:BK73),2),0)))</f>
        <v>0</v>
      </c>
      <c r="BN49" s="437"/>
      <c r="BO49" s="298">
        <v>1</v>
      </c>
      <c r="BP49" s="436">
        <f ca="1">SUM(Notyfikowana!S4:S10)</f>
        <v>0</v>
      </c>
      <c r="BQ49" s="437"/>
      <c r="BR49" s="306" t="e">
        <f ca="1">CHOOSE(nr_pomoc,"1ᴺ",2,3,0,"1ᴺ","1ᴺ")</f>
        <v>#VALUE!</v>
      </c>
      <c r="BU49" s="3" t="str">
        <f>W49</f>
        <v xml:space="preserve">od zmiany </v>
      </c>
      <c r="BV49" s="428">
        <f ca="1">ROUND(MAX(SUM(BS80:BX86),0),2)</f>
        <v>0</v>
      </c>
      <c r="BW49" s="428"/>
      <c r="BX49" s="429"/>
    </row>
    <row r="50" spans="2:87" ht="3.75" customHeight="1" x14ac:dyDescent="0.15">
      <c r="B50" s="181"/>
      <c r="C50" s="199"/>
      <c r="D50" s="303"/>
      <c r="E50" s="303"/>
      <c r="F50" s="303"/>
      <c r="G50" s="303"/>
      <c r="H50" s="303"/>
      <c r="I50" s="488"/>
      <c r="J50" s="489"/>
      <c r="K50" s="489"/>
      <c r="L50" s="489"/>
      <c r="M50" s="490"/>
      <c r="N50" s="488"/>
      <c r="O50" s="489"/>
      <c r="P50" s="489"/>
      <c r="Q50" s="490"/>
      <c r="R50" s="495"/>
      <c r="S50" s="495"/>
      <c r="T50" s="199"/>
      <c r="U50" s="199"/>
      <c r="V50" s="200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181"/>
      <c r="AJ50" s="181"/>
      <c r="AK50" s="181"/>
      <c r="AL50" s="181"/>
      <c r="BG50" s="10"/>
      <c r="BM50" s="3"/>
      <c r="BN50" s="3"/>
      <c r="BO50" s="3"/>
      <c r="BP50" s="3"/>
      <c r="BQ50" s="3"/>
      <c r="BR50" s="3"/>
    </row>
    <row r="51" spans="2:87" ht="14.25" customHeight="1" x14ac:dyDescent="0.15">
      <c r="B51" s="181"/>
      <c r="C51" s="199"/>
      <c r="D51" s="303"/>
      <c r="E51" s="303"/>
      <c r="F51" s="303"/>
      <c r="G51" s="303"/>
      <c r="H51" s="303"/>
      <c r="I51" s="484" t="str">
        <f ca="1">IF(OR(wariant=0,error&gt;0,ISERROR(error)),"",BM53)</f>
        <v/>
      </c>
      <c r="J51" s="484"/>
      <c r="K51" s="484"/>
      <c r="L51" s="484"/>
      <c r="M51" s="484"/>
      <c r="N51" s="492" t="str">
        <f ca="1">IF(kod_produkt="COSME",0,IF(AND(wariant&gt;0,error=0),BP53,""))</f>
        <v/>
      </c>
      <c r="O51" s="492"/>
      <c r="P51" s="492"/>
      <c r="Q51" s="493"/>
      <c r="R51" s="495"/>
      <c r="S51" s="495"/>
      <c r="T51" s="186"/>
      <c r="U51" s="186"/>
      <c r="V51" s="186"/>
      <c r="W51" s="497" t="str">
        <f ca="1">IF(error&gt;0,"",BV49)</f>
        <v/>
      </c>
      <c r="X51" s="497"/>
      <c r="Y51" s="497"/>
      <c r="Z51" s="497"/>
      <c r="AA51" s="497" t="str">
        <f ca="1">IF(error&gt;0,"",BV51)</f>
        <v/>
      </c>
      <c r="AB51" s="497"/>
      <c r="AC51" s="497"/>
      <c r="AD51" s="497"/>
      <c r="AE51" s="501" t="str">
        <f ca="1">IF(error&gt;0,"",BV53)</f>
        <v/>
      </c>
      <c r="AF51" s="501"/>
      <c r="AG51" s="501"/>
      <c r="AH51" s="501"/>
      <c r="AI51" s="181"/>
      <c r="AJ51" s="181"/>
      <c r="AK51" s="181"/>
      <c r="AL51" s="181"/>
      <c r="BB51" s="107">
        <f ca="1">IF(wariant&gt;0,1,0)</f>
        <v>0</v>
      </c>
      <c r="BC51" s="107">
        <v>0</v>
      </c>
      <c r="BD51" s="365" t="str">
        <f>IF(X9="","",IF(AND(SUM(X19,IF(kod_produkt=0,0,kwotaPomocyEUR))&gt;BV23,SUM(BD9:BD49)=0,wariant&lt;&gt;0),47,
               IF(AND(nr_pomoc=5,$BR$51=1),160,"")))</f>
        <v/>
      </c>
      <c r="BE51" s="111">
        <f ca="1">IF(OR(AE51=0,error&gt;0),0,1)</f>
        <v>0</v>
      </c>
      <c r="BG51" s="10"/>
      <c r="BL51" s="3" t="s">
        <v>25</v>
      </c>
      <c r="BM51" s="436">
        <f ca="1">IF(NOT(ISNUMBER(kursEURO)),0,IF(kursEURO&lt;&gt;0,ROUND(BM49/kursEURO,2),0))</f>
        <v>0</v>
      </c>
      <c r="BN51" s="438"/>
      <c r="BO51" s="298" t="e">
        <f>VLOOKUP(kod_produkt,Parametry!$F$31:$H$41,2,FALSE)</f>
        <v>#N/A</v>
      </c>
      <c r="BP51" s="436">
        <f ca="1">IF(NOT(ISNUMBER(kursEURO)),0,IF(kursEURO&lt;&gt;0,ROUND(kwotaPomocyNot/kursEURO,2),0))</f>
        <v>0</v>
      </c>
      <c r="BQ51" s="438"/>
      <c r="BR51" s="306" t="e">
        <f ca="1">IF(AND(wariant=7,EDATE(actStart,12)&gt;TODAY()),0,VLOOKUP(kod_produkt,Parametry!$F$31:$H$41,3,FALSE))</f>
        <v>#N/A</v>
      </c>
      <c r="BU51" s="3" t="str">
        <f>AA49</f>
        <v xml:space="preserve">rocznicowa </v>
      </c>
      <c r="BV51" s="428">
        <f ca="1">ROUND(SUM(BP80:BR86),2)</f>
        <v>0</v>
      </c>
      <c r="BW51" s="428"/>
      <c r="BX51" s="429"/>
    </row>
    <row r="52" spans="2:87" ht="17.25" customHeight="1" x14ac:dyDescent="0.15">
      <c r="B52" s="181"/>
      <c r="C52" s="199"/>
      <c r="D52" s="304"/>
      <c r="E52" s="304"/>
      <c r="F52" s="304"/>
      <c r="G52" s="304"/>
      <c r="H52" s="304"/>
      <c r="I52" s="186"/>
      <c r="J52" s="186"/>
      <c r="K52" s="186"/>
      <c r="L52" s="186"/>
      <c r="M52" s="186"/>
      <c r="N52" s="186"/>
      <c r="O52" s="186"/>
      <c r="P52" s="186"/>
      <c r="Q52" s="305" t="str">
        <f ca="1">IF(OR(AND(kod_produkt&lt;&gt;"POIR",kod_produkt&lt;&gt;"POPC"),BE49=0),"",VLOOKUP(BR53,Produkty!$C$40:$F$43,2,FALSE))</f>
        <v/>
      </c>
      <c r="R52" s="496"/>
      <c r="S52" s="496"/>
      <c r="T52" s="186"/>
      <c r="U52" s="186"/>
      <c r="V52" s="186"/>
      <c r="W52" s="186"/>
      <c r="X52" s="186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BD52" s="2" t="s">
        <v>392</v>
      </c>
      <c r="BG52" s="10"/>
      <c r="BR52" s="3"/>
    </row>
    <row r="53" spans="2:87" ht="14.25" customHeight="1" x14ac:dyDescent="0.15">
      <c r="B53" s="181"/>
      <c r="C53" s="475" t="str">
        <f ca="1">IF(ISERROR(BE56),"",IF(BE56=0,"",VLOOKUP(BE56,msgs,2,FALSE)))</f>
        <v>Wybierz produkt.</v>
      </c>
      <c r="D53" s="476"/>
      <c r="E53" s="476"/>
      <c r="F53" s="476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476"/>
      <c r="Y53" s="476"/>
      <c r="Z53" s="476"/>
      <c r="AA53" s="476"/>
      <c r="AB53" s="476"/>
      <c r="AC53" s="476"/>
      <c r="AD53" s="476"/>
      <c r="AE53" s="476"/>
      <c r="AF53" s="476"/>
      <c r="AG53" s="476"/>
      <c r="AH53" s="476"/>
      <c r="AI53" s="476"/>
      <c r="AJ53" s="476"/>
      <c r="AK53" s="477"/>
      <c r="AL53" s="181"/>
      <c r="BC53" s="3" t="s">
        <v>19</v>
      </c>
      <c r="BD53" s="103">
        <f ca="1">IF(ISERROR(MIN(BD7:BD51,CH37)),1,MIN(BD7:BD51,CH37))</f>
        <v>14</v>
      </c>
      <c r="BE53" s="103">
        <f ca="1">IF(error=1,MIN(BE9:BE19),error)</f>
        <v>14</v>
      </c>
      <c r="BG53" s="10"/>
      <c r="BK53" s="213"/>
      <c r="BL53" s="3" t="s">
        <v>356</v>
      </c>
      <c r="BM53" s="436" t="e">
        <f ca="1">ROUND(
                 IF(AND(BO51=1,BR51=1),
                               MIN(BM49,kwotaPomocyNot),
                                IF(AND(BO51=0,BR51=1),
                                              kwotaPomocyNot,
                                              IF(AND(BO51=1,BR51=0),BM49,0))),
2)</f>
        <v>#N/A</v>
      </c>
      <c r="BN53" s="438"/>
      <c r="BO53" s="3" t="s">
        <v>357</v>
      </c>
      <c r="BP53" s="436" t="e">
        <f ca="1">ROUND(BM53/kursEURO,2)</f>
        <v>#N/A</v>
      </c>
      <c r="BQ53" s="438"/>
      <c r="BR53" s="306" t="e">
        <f ca="1">IF(kwotaPomocyEUR=BP51,BR49,BO49)</f>
        <v>#N/A</v>
      </c>
      <c r="BU53" s="3" t="str">
        <f>AE49</f>
        <v xml:space="preserve">razem </v>
      </c>
      <c r="BV53" s="428">
        <f ca="1">MAX(ROUND(SUM(BV51,BV49),2),0)</f>
        <v>0</v>
      </c>
      <c r="BW53" s="428"/>
      <c r="BX53" s="429"/>
    </row>
    <row r="54" spans="2:87" ht="9.6" customHeight="1" x14ac:dyDescent="0.15">
      <c r="B54" s="181"/>
      <c r="C54" s="478" t="str">
        <f ca="1">IF(ISERROR(BE57),"",IF(BE57=0,"",VLOOKUP(BE57,msgs,2,FALSE)))</f>
        <v/>
      </c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  <c r="AI54" s="479"/>
      <c r="AJ54" s="479"/>
      <c r="AK54" s="480"/>
      <c r="AL54" s="181"/>
      <c r="BG54" s="10"/>
    </row>
    <row r="55" spans="2:87" ht="14.25" customHeight="1" x14ac:dyDescent="0.15">
      <c r="B55" s="181"/>
      <c r="C55" s="481" t="str">
        <f ca="1">IF(ISERROR(BE58),"",IF(BE58=0,"",VLOOKUP(BE58,msgs,2,FALSE)))</f>
        <v/>
      </c>
      <c r="D55" s="482"/>
      <c r="E55" s="482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3"/>
      <c r="AL55" s="181"/>
      <c r="BG55" s="510" t="s">
        <v>172</v>
      </c>
      <c r="BH55" s="511"/>
      <c r="BI55" s="511"/>
      <c r="BJ55" s="511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</row>
    <row r="56" spans="2:87" ht="14.25" customHeight="1" x14ac:dyDescent="0.15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BC56" s="3" t="s">
        <v>159</v>
      </c>
      <c r="BD56" s="109">
        <f ca="1">IF(error&gt;0,error,IF(BE45=1,130,0))</f>
        <v>14</v>
      </c>
      <c r="BE56" s="108">
        <f ca="1">IF(BD56&gt;0,BD56,IF(BD57&gt;0,BD57,IF(BD58&gt;0,BD58,BD59)))</f>
        <v>14</v>
      </c>
      <c r="BG56" s="512"/>
      <c r="BH56" s="513"/>
      <c r="BI56" s="513"/>
      <c r="BJ56" s="513"/>
      <c r="BL56" s="5" t="s">
        <v>164</v>
      </c>
      <c r="BM56" s="448">
        <f ca="1">IF(wariant=8,X23,actStart)</f>
        <v>0</v>
      </c>
      <c r="BN56" s="448"/>
      <c r="BO56" s="448"/>
      <c r="BP56" s="105">
        <f ca="1">(YEAR(repDate)-YEAR(actStart))*12-IF(MONTH(repDate)&lt;MONTH(actStart),12,0)</f>
        <v>1476</v>
      </c>
      <c r="BQ56" s="106">
        <f ca="1">MOD(YEAR(BM56)*12+MONTH(BM56)+BP56,12)</f>
        <v>1</v>
      </c>
      <c r="BR56" s="106">
        <f ca="1">IF(BQ56=0,12,BQ56)</f>
        <v>1</v>
      </c>
      <c r="BS56" s="448">
        <f ca="1">DATE(INT((YEAR(BM56)*12+MONTH(BM56)+BP56-1)/12),BR56,DAY(BM56))</f>
        <v>44926</v>
      </c>
      <c r="BT56" s="448"/>
      <c r="BU56" s="448"/>
      <c r="BV56" s="448">
        <f ca="1">BS56-IF(MONTH(BS56)=BR56,0,IF(MONTH(BS56-1)=BR56,1,IF(MONTH(BS56-2)=BR56,2,3)))</f>
        <v>44923</v>
      </c>
      <c r="BW56" s="448"/>
      <c r="BX56" s="518"/>
    </row>
    <row r="57" spans="2:87" ht="14.25" customHeight="1" x14ac:dyDescent="0.15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BC57" s="3" t="s">
        <v>84</v>
      </c>
      <c r="BD57" s="114">
        <v>0</v>
      </c>
      <c r="BE57" s="108" t="e">
        <f ca="1">IF(COUNTIF(BD56:BD57,"&gt;0")=2,BD57,IF(AND(COUNTIF(BD56:BD57,"&gt;0")=1,BD58&gt;0),BD58,IF(COUNTIF(BD56:BD58,"&gt;0")=1,BD59,0)))</f>
        <v>#N/A</v>
      </c>
      <c r="BG57" s="512"/>
      <c r="BH57" s="513"/>
      <c r="BI57" s="513"/>
      <c r="BJ57" s="513"/>
      <c r="BL57" s="5" t="s">
        <v>165</v>
      </c>
      <c r="BM57" s="448">
        <f ca="1">ppStart</f>
        <v>45370</v>
      </c>
      <c r="BN57" s="448"/>
      <c r="BO57" s="448"/>
      <c r="BP57" s="106">
        <v>12</v>
      </c>
      <c r="BQ57" s="106">
        <f ca="1">MOD(YEAR(BM57)*12+MONTH(BM57)+BP57,12)</f>
        <v>3</v>
      </c>
      <c r="BR57" s="106">
        <f ca="1">IF(BQ57=0,12,BQ57)</f>
        <v>3</v>
      </c>
      <c r="BS57" s="448">
        <f ca="1">DATE(INT((YEAR(BM57)*12+MONTH(BM57)+BP57-1)/12),BR57,DAY(BM57))</f>
        <v>45735</v>
      </c>
      <c r="BT57" s="448"/>
      <c r="BU57" s="448"/>
      <c r="BV57" s="448">
        <f ca="1">BS57-IF(MONTH(BS57)=BR57,0,IF(MONTH(BS57-1)=BR57,1,IF(MONTH(BS57-2)=BR57,2,3)))</f>
        <v>45735</v>
      </c>
      <c r="BW57" s="448"/>
      <c r="BX57" s="518"/>
    </row>
    <row r="58" spans="2:87" ht="14.25" customHeight="1" x14ac:dyDescent="0.15">
      <c r="BC58" s="3" t="s">
        <v>85</v>
      </c>
      <c r="BD58" s="109">
        <f ca="1">IF(wariant&gt;0,IF(AND(NOW()&lt;TODAY()+1/2,actStart=TODAY()),10,IF(AND(IF(wariant=8,X23,repDate)&gt;TODAY(),N51&gt;0,error=0),12,0)),0)</f>
        <v>0</v>
      </c>
      <c r="BE58" s="108">
        <f ca="1">IF(COUNTIF(BD56:BD58,"&gt;0")=3,BD58,IF(COUNTIF(BD56:BD58,"&gt;0")=2,BD59,0))</f>
        <v>0</v>
      </c>
      <c r="BG58" s="33"/>
      <c r="BI58" s="34"/>
      <c r="BL58" s="5" t="s">
        <v>166</v>
      </c>
      <c r="BM58" s="448">
        <f ca="1">IF(wariant=8,X23,actStart)</f>
        <v>0</v>
      </c>
      <c r="BN58" s="448"/>
      <c r="BO58" s="448"/>
      <c r="BP58" s="105">
        <f ca="1">IF(wariant&lt;&gt;8,months,months_LGL)</f>
        <v>0</v>
      </c>
      <c r="BQ58" s="106">
        <f ca="1">MOD(YEAR(BM58)*12+MONTH(BM58)+BP58,12)</f>
        <v>1</v>
      </c>
      <c r="BR58" s="106">
        <f ca="1">IF(BQ58=0,12,BQ58)</f>
        <v>1</v>
      </c>
      <c r="BS58" s="448">
        <f ca="1">DATE(INT((YEAR(BM58)*12+MONTH(BM58)+BP58-1)/12),BR58,DAY(BM58))</f>
        <v>0</v>
      </c>
      <c r="BT58" s="448"/>
      <c r="BU58" s="448"/>
      <c r="BV58" s="448">
        <f ca="1">BS58-IF(MONTH(BS58)=BR58,0,IF(MONTH(BS58-1)=BR58,1,IF(MONTH(BS58-2)=BR58,2,3)))</f>
        <v>0</v>
      </c>
      <c r="BW58" s="448"/>
      <c r="BX58" s="518"/>
    </row>
    <row r="59" spans="2:87" ht="14.25" customHeight="1" x14ac:dyDescent="0.15">
      <c r="BC59" s="3" t="s">
        <v>188</v>
      </c>
      <c r="BD59" s="110" t="e">
        <f ca="1">IF(AND(error=0,OR(AND(wariant&gt;0,kwotaPomocy=0,jestPomoc),AND(jestProwizja,kwotaProwizji=0))),IF(AND(OR(kod_produkt="KFG",kod_produkt="KREU"),prowizja=0),141,140),IF(AND(BB25&lt;&gt;0,wariant&gt;0,OR(kursEURO&lt;=minEUR,kursEURO&gt;=maxEUR),kursEURO&gt;0),11,0))</f>
        <v>#N/A</v>
      </c>
      <c r="BE59" s="103">
        <f ca="1">IF(COUNTIF(BD56:BD59,"&gt;0")=4,BD59,0)</f>
        <v>0</v>
      </c>
      <c r="BG59" s="10"/>
      <c r="BI59" s="34"/>
      <c r="BL59" s="5" t="s">
        <v>167</v>
      </c>
      <c r="BM59" s="434">
        <f ca="1">IF(wariant=wariant,X23,actStart)</f>
        <v>0</v>
      </c>
      <c r="BN59" s="434"/>
      <c r="BO59" s="434"/>
      <c r="BP59" s="102">
        <f ca="1">newMonths</f>
        <v>0</v>
      </c>
      <c r="BQ59" s="107">
        <f ca="1">MOD(YEAR(BM59)*12+MONTH(BM59)+BP59,12)</f>
        <v>1</v>
      </c>
      <c r="BR59" s="107">
        <f ca="1">IF(BQ59=0,12,BQ59)</f>
        <v>1</v>
      </c>
      <c r="BS59" s="434">
        <f ca="1">DATE(INT((YEAR(BM59)*12+MONTH(BM59)+BP59-1)/12),BR59,DAY(BM59))</f>
        <v>0</v>
      </c>
      <c r="BT59" s="434"/>
      <c r="BU59" s="434"/>
      <c r="BV59" s="434">
        <f ca="1">BS59-IF(MONTH(BS59)=BR59,0,IF(MONTH(BS59-1)=BR59,1,IF(MONTH(BS59-2)=BR59,2,3)))</f>
        <v>0</v>
      </c>
      <c r="BW59" s="434"/>
      <c r="BX59" s="435"/>
    </row>
    <row r="60" spans="2:87" ht="9.75" customHeight="1" x14ac:dyDescent="0.15">
      <c r="BG60" s="514" t="s">
        <v>171</v>
      </c>
      <c r="BH60" s="515"/>
      <c r="BI60" s="515"/>
      <c r="BJ60" s="515"/>
      <c r="BK60" s="515"/>
      <c r="BL60" s="515"/>
      <c r="BM60" s="515"/>
      <c r="BN60" s="515"/>
      <c r="BO60" s="515"/>
      <c r="BP60" s="515"/>
      <c r="BQ60" s="515"/>
      <c r="BR60" s="515"/>
      <c r="BS60" s="515"/>
      <c r="BT60" s="515"/>
      <c r="BU60" s="515"/>
      <c r="BV60" s="515"/>
      <c r="BW60" s="515"/>
      <c r="BX60" s="515"/>
    </row>
    <row r="61" spans="2:87" ht="14.25" customHeight="1" x14ac:dyDescent="0.15">
      <c r="BB61" s="17"/>
      <c r="BC61" s="17"/>
      <c r="BD61" s="17"/>
      <c r="BE61" s="17"/>
      <c r="BF61" s="17"/>
      <c r="BG61" s="516"/>
      <c r="BH61" s="517"/>
      <c r="BI61" s="517"/>
      <c r="BJ61" s="517"/>
      <c r="BK61" s="517"/>
      <c r="BL61" s="517"/>
      <c r="BM61" s="517"/>
      <c r="BN61" s="517"/>
      <c r="BO61" s="517"/>
      <c r="BP61" s="517"/>
      <c r="BQ61" s="517"/>
      <c r="BR61" s="517"/>
      <c r="BS61" s="517"/>
      <c r="BT61" s="517"/>
      <c r="BU61" s="517"/>
      <c r="BV61" s="517"/>
      <c r="BW61" s="517"/>
      <c r="BX61" s="517"/>
    </row>
    <row r="62" spans="2:87" ht="14.25" customHeight="1" x14ac:dyDescent="0.15">
      <c r="BA62" s="172"/>
      <c r="BB62" s="471" t="s">
        <v>86</v>
      </c>
      <c r="BC62" s="471"/>
      <c r="BD62" s="471"/>
      <c r="BE62" s="471"/>
      <c r="BF62" s="471"/>
      <c r="BG62" s="170"/>
      <c r="BH62" s="170"/>
      <c r="BI62" s="170"/>
      <c r="BJ62" s="170"/>
      <c r="BK62" s="170"/>
      <c r="BL62" s="170"/>
      <c r="BM62" s="170"/>
      <c r="BN62" s="170"/>
      <c r="BO62" s="465" t="s">
        <v>95</v>
      </c>
      <c r="BP62" s="466"/>
      <c r="BQ62" s="466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</row>
    <row r="63" spans="2:87" ht="12.75" customHeight="1" thickBot="1" x14ac:dyDescent="0.2">
      <c r="BA63" s="172"/>
      <c r="BB63" s="472"/>
      <c r="BC63" s="472"/>
      <c r="BD63" s="472"/>
      <c r="BE63" s="472"/>
      <c r="BF63" s="472"/>
      <c r="BG63" s="170"/>
      <c r="BH63" s="170"/>
      <c r="BI63" s="170"/>
      <c r="BJ63" s="170"/>
      <c r="BK63" s="170"/>
      <c r="BL63" s="170"/>
      <c r="BM63" s="170"/>
      <c r="BN63" s="170"/>
      <c r="BO63" s="467"/>
      <c r="BP63" s="468"/>
      <c r="BQ63" s="468"/>
      <c r="BU63" s="3" t="s">
        <v>109</v>
      </c>
      <c r="BV63" s="434">
        <f ca="1">IF(wariant=0,DATE(YEAR(MAX(TODAY(),actStart)),MONTH(actStart),DAY(actStart)),IF(OR(wariant=1,wariant=8),actStart,chgDate))</f>
        <v>45291</v>
      </c>
      <c r="BW63" s="434"/>
      <c r="BX63" s="435"/>
      <c r="BY63" s="414">
        <f>IF(actEnd="",0,YEAR(repDate)*12+MONTH(repDate))</f>
        <v>0</v>
      </c>
      <c r="BZ63" s="415"/>
    </row>
    <row r="64" spans="2:87" ht="16.149999999999999" customHeight="1" thickBot="1" x14ac:dyDescent="0.2">
      <c r="BA64" s="172"/>
      <c r="BB64" s="183" t="s">
        <v>96</v>
      </c>
      <c r="BC64" s="182"/>
      <c r="BD64" s="449" t="str">
        <f ca="1">IF(wariant=1,"nowa",IF(wariant=4,"obniżenie","podwyższenie"))</f>
        <v>podwyższenie</v>
      </c>
      <c r="BE64" s="450"/>
      <c r="BF64" s="450"/>
      <c r="BG64" s="451"/>
      <c r="BH64" s="449" t="str">
        <f ca="1">IF(wariant=6,"skrócenie","przedłużenie")</f>
        <v>przedłużenie</v>
      </c>
      <c r="BI64" s="450"/>
      <c r="BJ64" s="450"/>
      <c r="BK64" s="450"/>
      <c r="BL64" s="450"/>
      <c r="BM64" s="451"/>
      <c r="BN64" s="170"/>
      <c r="BO64" s="10" t="s">
        <v>114</v>
      </c>
    </row>
    <row r="65" spans="53:76" ht="12.75" customHeight="1" x14ac:dyDescent="0.15">
      <c r="BA65" s="172"/>
      <c r="BB65" s="502" t="s">
        <v>27</v>
      </c>
      <c r="BC65" s="503"/>
      <c r="BD65" s="505" t="s">
        <v>97</v>
      </c>
      <c r="BE65" s="452" t="s">
        <v>96</v>
      </c>
      <c r="BF65" s="453"/>
      <c r="BG65" s="454"/>
      <c r="BH65" s="519" t="s">
        <v>28</v>
      </c>
      <c r="BI65" s="520"/>
      <c r="BJ65" s="521"/>
      <c r="BK65" s="452" t="s">
        <v>96</v>
      </c>
      <c r="BL65" s="453" t="s">
        <v>95</v>
      </c>
      <c r="BM65" s="454"/>
      <c r="BN65" s="170"/>
      <c r="BO65" s="469" t="s">
        <v>119</v>
      </c>
      <c r="BP65" s="470"/>
      <c r="BQ65" s="470"/>
      <c r="BR65" s="470"/>
      <c r="BS65" s="470" t="s">
        <v>111</v>
      </c>
      <c r="BT65" s="448">
        <f ca="1">IF(actStart="",TODAY(),BV58)</f>
        <v>45370</v>
      </c>
      <c r="BU65" s="448"/>
      <c r="BV65" s="448"/>
      <c r="BW65" s="463">
        <f>IF(actEnd="",0,YEAR(realActEnd)*12+MONTH(realActEnd))</f>
        <v>0</v>
      </c>
      <c r="BX65" s="464"/>
    </row>
    <row r="66" spans="53:76" ht="12.75" customHeight="1" thickBot="1" x14ac:dyDescent="0.2">
      <c r="BA66" s="172"/>
      <c r="BB66" s="504"/>
      <c r="BC66" s="457"/>
      <c r="BD66" s="506"/>
      <c r="BE66" s="455"/>
      <c r="BF66" s="456"/>
      <c r="BG66" s="457"/>
      <c r="BH66" s="54" t="s">
        <v>29</v>
      </c>
      <c r="BI66" s="55" t="s">
        <v>30</v>
      </c>
      <c r="BJ66" s="55" t="s">
        <v>31</v>
      </c>
      <c r="BK66" s="455"/>
      <c r="BL66" s="456"/>
      <c r="BM66" s="457"/>
      <c r="BN66" s="170"/>
      <c r="BO66" s="469" t="s">
        <v>120</v>
      </c>
      <c r="BP66" s="470"/>
      <c r="BQ66" s="470"/>
      <c r="BR66" s="470"/>
      <c r="BS66" s="470" t="s">
        <v>112</v>
      </c>
      <c r="BT66" s="434">
        <f ca="1">IF(actStart="",TODAY(),IF(newMonths=0,BV58,BV59))</f>
        <v>45370</v>
      </c>
      <c r="BU66" s="434"/>
      <c r="BV66" s="434"/>
      <c r="BW66" s="414">
        <f>IF(newEnd="",realActEndNo,YEAR(realNewEnd)*12+MONTH(realNewEnd))</f>
        <v>0</v>
      </c>
      <c r="BX66" s="415"/>
    </row>
    <row r="67" spans="53:76" ht="12.75" customHeight="1" x14ac:dyDescent="0.15">
      <c r="BA67" s="172"/>
      <c r="BB67" s="51">
        <v>0</v>
      </c>
      <c r="BC67" s="91">
        <f t="shared" ref="BC67:BC73" ca="1" si="0">IF(BB67=wariant,1,0)</f>
        <v>1</v>
      </c>
      <c r="BD67" s="11"/>
      <c r="BE67" s="458"/>
      <c r="BF67" s="459"/>
      <c r="BG67" s="460"/>
      <c r="BH67" s="11"/>
      <c r="BI67" s="12"/>
      <c r="BJ67" s="12"/>
      <c r="BK67" s="458"/>
      <c r="BL67" s="459"/>
      <c r="BM67" s="460"/>
      <c r="BN67" s="170"/>
      <c r="BO67" s="10"/>
    </row>
    <row r="68" spans="53:76" ht="12.75" customHeight="1" x14ac:dyDescent="0.15">
      <c r="BA68" s="172"/>
      <c r="BB68" s="52">
        <v>1</v>
      </c>
      <c r="BC68" s="92">
        <f ca="1">IF(OR(BB68=wariant,wariant=8),1,0)</f>
        <v>0</v>
      </c>
      <c r="BD68" s="94">
        <f ca="1">BC68*IF(kod_produkt="LGL",months_LGL,months)</f>
        <v>0</v>
      </c>
      <c r="BE68" s="507">
        <f ca="1">$BC68*actGuar*2/15*BD68/60</f>
        <v>0</v>
      </c>
      <c r="BF68" s="508"/>
      <c r="BG68" s="509"/>
      <c r="BH68" s="13"/>
      <c r="BI68" s="14"/>
      <c r="BJ68" s="14"/>
      <c r="BK68" s="458"/>
      <c r="BL68" s="459"/>
      <c r="BM68" s="460"/>
      <c r="BN68" s="170"/>
      <c r="BO68" s="10" t="s">
        <v>113</v>
      </c>
    </row>
    <row r="69" spans="53:76" ht="12.75" customHeight="1" x14ac:dyDescent="0.15">
      <c r="BA69" s="172"/>
      <c r="BB69" s="51">
        <v>2</v>
      </c>
      <c r="BC69" s="91">
        <f t="shared" ca="1" si="0"/>
        <v>0</v>
      </c>
      <c r="BD69" s="95">
        <f ca="1">BC69*IF(chgDate&lt;&gt;"",MAX(INT(YEAR(actEnd)*12+MONTH(actEnd)-YEAR(chgDate)*12-MONTH(chgDate)+IF(DAY(chgDate)&lt;DAY(actEnd),1,0)),1),0)</f>
        <v>0</v>
      </c>
      <c r="BE69" s="507">
        <f ca="1">$BC69*(newGuar-actGuar)*2/15*BD69/60</f>
        <v>0</v>
      </c>
      <c r="BF69" s="508"/>
      <c r="BG69" s="509"/>
      <c r="BH69" s="11"/>
      <c r="BI69" s="12"/>
      <c r="BJ69" s="12"/>
      <c r="BK69" s="458"/>
      <c r="BL69" s="459"/>
      <c r="BM69" s="460"/>
      <c r="BN69" s="170"/>
      <c r="BO69" s="469" t="s">
        <v>115</v>
      </c>
      <c r="BP69" s="470"/>
      <c r="BQ69" s="470"/>
      <c r="BR69" s="470"/>
      <c r="BS69" s="470"/>
      <c r="BT69" s="448">
        <f ca="1">IF(wariant&lt;&gt;4,chgDate,MIN(MAX(chgDate,realActEnd),ppEnd))</f>
        <v>45370</v>
      </c>
      <c r="BU69" s="448"/>
      <c r="BV69" s="448"/>
      <c r="BW69" s="463">
        <f ca="1">IF(OR(BB39=0,chgDate=""),0,YEAR(realChgDate)*12+MONTH(realChgDate))</f>
        <v>0</v>
      </c>
      <c r="BX69" s="464"/>
    </row>
    <row r="70" spans="53:76" ht="12.75" customHeight="1" x14ac:dyDescent="0.15">
      <c r="BA70" s="172"/>
      <c r="BB70" s="51">
        <v>3</v>
      </c>
      <c r="BC70" s="91">
        <f t="shared" ca="1" si="0"/>
        <v>0</v>
      </c>
      <c r="BD70" s="11"/>
      <c r="BE70" s="458"/>
      <c r="BF70" s="459"/>
      <c r="BG70" s="460"/>
      <c r="BH70" s="95">
        <f ca="1">BC70*months</f>
        <v>0</v>
      </c>
      <c r="BI70" s="97">
        <f ca="1">BC70*(INT(YEAR(newEnd)*12+MONTH(newEnd)-YEAR(actStart)*12-MONTH(actStart)+IF(DAY(actStart)&lt;DAY(newEnd),1,0)))</f>
        <v>0</v>
      </c>
      <c r="BJ70" s="97">
        <f ca="1">BI70-BH70</f>
        <v>0</v>
      </c>
      <c r="BK70" s="507">
        <f ca="1">$BC70*actGuar*2/15*BJ70/60</f>
        <v>0</v>
      </c>
      <c r="BL70" s="508" t="e">
        <f ca="1">BC70*BL39*$BJ$68</f>
        <v>#VALUE!</v>
      </c>
      <c r="BM70" s="509"/>
      <c r="BN70" s="170"/>
      <c r="BO70" s="469" t="s">
        <v>111</v>
      </c>
      <c r="BP70" s="470"/>
      <c r="BQ70" s="470"/>
      <c r="BR70" s="470"/>
      <c r="BS70" s="470" t="s">
        <v>111</v>
      </c>
      <c r="BT70" s="434">
        <f ca="1">MIN(ppEnd,IF(BB41=1,newEnd,actEnd))</f>
        <v>45370</v>
      </c>
      <c r="BU70" s="434"/>
      <c r="BV70" s="434"/>
      <c r="BW70" s="593">
        <f ca="1">IF(realEndAmt="",0,YEAR(realEndAmt)*12+MONTH(realEndAmt))</f>
        <v>24291</v>
      </c>
      <c r="BX70" s="594"/>
    </row>
    <row r="71" spans="53:76" ht="12.75" customHeight="1" x14ac:dyDescent="0.15">
      <c r="BA71" s="172"/>
      <c r="BB71" s="51">
        <v>4</v>
      </c>
      <c r="BC71" s="91">
        <f t="shared" ca="1" si="0"/>
        <v>0</v>
      </c>
      <c r="BD71" s="95">
        <f ca="1">BJ71</f>
        <v>0</v>
      </c>
      <c r="BE71" s="507">
        <f ca="1">$BC71*(newGuar-actGuar)*2/15*BD71/60</f>
        <v>0</v>
      </c>
      <c r="BF71" s="508"/>
      <c r="BG71" s="509"/>
      <c r="BH71" s="95">
        <f ca="1">BC71*months</f>
        <v>0</v>
      </c>
      <c r="BI71" s="97">
        <f ca="1">BC71*(INT(YEAR(newEnd)*12+MONTH(newEnd)-YEAR(actStart)*12-MONTH(actStart)+IF(DAY(actStart)&lt;DAY(newEnd),1,0)))</f>
        <v>0</v>
      </c>
      <c r="BJ71" s="97">
        <f ca="1">BI71-BH71</f>
        <v>0</v>
      </c>
      <c r="BK71" s="507">
        <f ca="1">$BC71*actGuar*2/15*BJ71/60</f>
        <v>0</v>
      </c>
      <c r="BL71" s="508">
        <f ca="1">BC71*BK40*$BJ$68</f>
        <v>0</v>
      </c>
      <c r="BM71" s="509"/>
      <c r="BN71" s="170"/>
      <c r="BO71" s="10"/>
      <c r="BV71" s="3" t="s">
        <v>121</v>
      </c>
      <c r="BW71" s="414">
        <f ca="1">IF(realEndAmt="",0,
  MAX(IF(realChgDate&lt;ppStart,ppStartNo-realChgDateNo+IF(DAY(ppStart)&gt;DAY(realChgDate),1,0),0)+
   realEndAmtNo-MAX(ppStartNo,realChgDateNo)+IF(DAY(realEndAmt)&gt;DAY(MAX(ppStart,realChgDate)),1,0),1))</f>
        <v>1</v>
      </c>
      <c r="BX71" s="415"/>
    </row>
    <row r="72" spans="53:76" ht="12.6" customHeight="1" x14ac:dyDescent="0.15">
      <c r="BA72" s="172"/>
      <c r="BB72" s="51">
        <v>5</v>
      </c>
      <c r="BC72" s="91">
        <f t="shared" ca="1" si="0"/>
        <v>0</v>
      </c>
      <c r="BD72" s="95">
        <f ca="1">BC72*MAX(INT(YEAR(newEnd)*12+MONTH(newEnd)-YEAR(chgDate)*12-MONTH(chgDate)+IF(DAY(chgDate)&lt;DAY(newEnd),1,0)),1)</f>
        <v>0</v>
      </c>
      <c r="BE72" s="507">
        <f ca="1">$BC72*(newGuar-actGuar)*2/15*BD72/60</f>
        <v>0</v>
      </c>
      <c r="BF72" s="508"/>
      <c r="BG72" s="509"/>
      <c r="BH72" s="95">
        <f ca="1">BC72*months</f>
        <v>0</v>
      </c>
      <c r="BI72" s="97">
        <f ca="1">BC72*(INT(YEAR(newEnd)*12+MONTH(newEnd)-YEAR(actStart)*12-MONTH(actStart)+IF(DAY(actStart)&lt;DAY(newEnd),1,0)))</f>
        <v>0</v>
      </c>
      <c r="BJ72" s="97">
        <f ca="1">BI72-BH72</f>
        <v>0</v>
      </c>
      <c r="BK72" s="507">
        <f ca="1">$BC72*actGuar*2/15*BJ72/60</f>
        <v>0</v>
      </c>
      <c r="BL72" s="508">
        <f ca="1">BC72*BK40*$BJ$68</f>
        <v>0</v>
      </c>
      <c r="BM72" s="509"/>
      <c r="BN72" s="170"/>
      <c r="BO72" s="10" t="s">
        <v>118</v>
      </c>
    </row>
    <row r="73" spans="53:76" ht="12.6" customHeight="1" thickBot="1" x14ac:dyDescent="0.2">
      <c r="BA73" s="172"/>
      <c r="BB73" s="53">
        <v>6</v>
      </c>
      <c r="BC73" s="93">
        <f t="shared" ca="1" si="0"/>
        <v>0</v>
      </c>
      <c r="BD73" s="96">
        <f ca="1">BC73*MAX(INT(YEAR(newEnd)*12+MONTH(newEnd)-YEAR(chgDate)*12-MONTH(chgDate)+IF(DAY(chgDate)&lt;DAY(newEnd),1,0)),1)</f>
        <v>0</v>
      </c>
      <c r="BE73" s="539">
        <f ca="1">$BC73*(newGuar-actGuar)*2/15*BD73/60</f>
        <v>0</v>
      </c>
      <c r="BF73" s="540"/>
      <c r="BG73" s="541"/>
      <c r="BH73" s="15"/>
      <c r="BI73" s="16"/>
      <c r="BJ73" s="16"/>
      <c r="BK73" s="528"/>
      <c r="BL73" s="529"/>
      <c r="BM73" s="530"/>
      <c r="BN73" s="170"/>
      <c r="BO73" s="469" t="s">
        <v>116</v>
      </c>
      <c r="BP73" s="470"/>
      <c r="BQ73" s="470"/>
      <c r="BR73" s="470"/>
      <c r="BS73" s="470"/>
      <c r="BT73" s="448">
        <f ca="1">IF(actStart="",TODAY(),BV56)</f>
        <v>45370</v>
      </c>
      <c r="BU73" s="448"/>
      <c r="BV73" s="448"/>
      <c r="BW73" s="463">
        <f ca="1">YEAR(ppStart)*12+MONTH(ppStart)</f>
        <v>24291</v>
      </c>
      <c r="BX73" s="464"/>
    </row>
    <row r="74" spans="53:76" x14ac:dyDescent="0.15">
      <c r="BA74" s="172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469" t="s">
        <v>117</v>
      </c>
      <c r="BP74" s="470"/>
      <c r="BQ74" s="470"/>
      <c r="BR74" s="470"/>
      <c r="BS74" s="470" t="s">
        <v>111</v>
      </c>
      <c r="BT74" s="434">
        <f ca="1">MIN(BV57,IF(wariant&lt;&gt;8,realNewEnd,actEnd))</f>
        <v>45370</v>
      </c>
      <c r="BU74" s="434"/>
      <c r="BV74" s="434"/>
      <c r="BW74" s="414">
        <f ca="1">YEAR(ppEnd)*12+MONTH(ppEnd)</f>
        <v>24291</v>
      </c>
      <c r="BX74" s="415"/>
    </row>
    <row r="75" spans="53:76" x14ac:dyDescent="0.15">
      <c r="BO75" s="18"/>
      <c r="BP75" s="18"/>
      <c r="BQ75" s="18"/>
      <c r="BR75" s="18"/>
      <c r="BS75" s="18"/>
    </row>
    <row r="76" spans="53:76" ht="13.9" customHeight="1" x14ac:dyDescent="0.15">
      <c r="BB76" s="19" t="s">
        <v>95</v>
      </c>
      <c r="BF76" s="3" t="s">
        <v>94</v>
      </c>
      <c r="BG76" s="534">
        <f>VLOOKUP(typKredytuOpis,parTypPomoc,3,FALSE)</f>
        <v>0</v>
      </c>
      <c r="BH76" s="534"/>
      <c r="BI76" s="535"/>
      <c r="BL76" s="20"/>
      <c r="BP76" s="3" t="s">
        <v>92</v>
      </c>
      <c r="BQ76" s="428">
        <f ca="1">IF(actAmtInp&lt;&gt;"",actAmtInp,IF(AND(BB45=1,actAmtInp=0),0,MIN(actGuar,newGuar)))</f>
        <v>0</v>
      </c>
      <c r="BR76" s="428"/>
      <c r="BS76" s="429"/>
      <c r="BW76" s="3" t="s">
        <v>110</v>
      </c>
      <c r="BX76" s="113">
        <f ca="1">IF(AND(MONTH(actStart)=MONTH(repDate),OR(YEAR(actStart)&lt;YEAR(repDate),wariant=1,wariant=8),ppStart&lt;&gt;ppEnd),1,0)</f>
        <v>0</v>
      </c>
    </row>
    <row r="77" spans="53:76" ht="7.15" customHeight="1" thickBot="1" x14ac:dyDescent="0.2">
      <c r="BB77" s="20"/>
    </row>
    <row r="78" spans="53:76" ht="12.75" customHeight="1" x14ac:dyDescent="0.15">
      <c r="BB78" s="502" t="s">
        <v>27</v>
      </c>
      <c r="BC78" s="550"/>
      <c r="BD78" s="531" t="s">
        <v>100</v>
      </c>
      <c r="BE78" s="532"/>
      <c r="BF78" s="533"/>
      <c r="BG78" s="531" t="s">
        <v>106</v>
      </c>
      <c r="BH78" s="532"/>
      <c r="BI78" s="532"/>
      <c r="BJ78" s="532"/>
      <c r="BK78" s="532"/>
      <c r="BL78" s="532"/>
      <c r="BM78" s="532"/>
      <c r="BN78" s="532"/>
      <c r="BO78" s="533"/>
      <c r="BP78" s="449" t="s">
        <v>95</v>
      </c>
      <c r="BQ78" s="450"/>
      <c r="BR78" s="450"/>
      <c r="BS78" s="450"/>
      <c r="BT78" s="450"/>
      <c r="BU78" s="450"/>
      <c r="BV78" s="450"/>
      <c r="BW78" s="450"/>
      <c r="BX78" s="451"/>
    </row>
    <row r="79" spans="53:76" ht="12.75" customHeight="1" thickBot="1" x14ac:dyDescent="0.2">
      <c r="BB79" s="504"/>
      <c r="BC79" s="456"/>
      <c r="BD79" s="56" t="s">
        <v>31</v>
      </c>
      <c r="BE79" s="57" t="s">
        <v>101</v>
      </c>
      <c r="BF79" s="58" t="s">
        <v>102</v>
      </c>
      <c r="BG79" s="522" t="s">
        <v>105</v>
      </c>
      <c r="BH79" s="523"/>
      <c r="BI79" s="524"/>
      <c r="BJ79" s="461" t="s">
        <v>98</v>
      </c>
      <c r="BK79" s="461"/>
      <c r="BL79" s="461"/>
      <c r="BM79" s="461" t="s">
        <v>99</v>
      </c>
      <c r="BN79" s="461"/>
      <c r="BO79" s="462"/>
      <c r="BP79" s="505" t="s">
        <v>105</v>
      </c>
      <c r="BQ79" s="560"/>
      <c r="BR79" s="560"/>
      <c r="BS79" s="560" t="s">
        <v>98</v>
      </c>
      <c r="BT79" s="560"/>
      <c r="BU79" s="560"/>
      <c r="BV79" s="452" t="s">
        <v>99</v>
      </c>
      <c r="BW79" s="453"/>
      <c r="BX79" s="454"/>
    </row>
    <row r="80" spans="53:76" ht="12.75" customHeight="1" x14ac:dyDescent="0.15">
      <c r="BB80" s="51">
        <v>0</v>
      </c>
      <c r="BC80" s="98">
        <f ca="1">IF(BB80=wariant,1,0)</f>
        <v>1</v>
      </c>
      <c r="BD80" s="99">
        <f t="shared" ref="BD80:BD85" ca="1" si="1">IF(BC80=0,0,rocznica*MIN(12,IF(repDate&lt;=ppStart,realNewEndNo,realActEndNo)-ppStartNo))</f>
        <v>0</v>
      </c>
      <c r="BE80" s="21"/>
      <c r="BF80" s="22"/>
      <c r="BG80" s="548">
        <f ca="1">BC80*actAmt</f>
        <v>0</v>
      </c>
      <c r="BH80" s="549"/>
      <c r="BI80" s="549"/>
      <c r="BJ80" s="545"/>
      <c r="BK80" s="545"/>
      <c r="BL80" s="545"/>
      <c r="BM80" s="545"/>
      <c r="BN80" s="545"/>
      <c r="BO80" s="546"/>
      <c r="BP80" s="548">
        <f t="shared" ref="BP80:BP86" ca="1" si="2">BC80*ROUND(BG80*prowizja/12*BD80,2)</f>
        <v>0</v>
      </c>
      <c r="BQ80" s="549"/>
      <c r="BR80" s="549"/>
      <c r="BS80" s="545"/>
      <c r="BT80" s="545"/>
      <c r="BU80" s="545"/>
      <c r="BV80" s="545"/>
      <c r="BW80" s="545"/>
      <c r="BX80" s="546"/>
    </row>
    <row r="81" spans="53:76" ht="12.75" customHeight="1" x14ac:dyDescent="0.15">
      <c r="BB81" s="52">
        <v>1</v>
      </c>
      <c r="BC81" s="100">
        <f ca="1">IF(OR(BB81=wariant,wariant=8),1,0)</f>
        <v>0</v>
      </c>
      <c r="BD81" s="95">
        <f ca="1">IF(wariant&lt;&gt;8,IF(BC81=0,0,rocznica*MIN(12,IF(repDate&lt;=ppStart,realNewEndNo,realActEndNo)-ppStartNo)),(YEAR(ppEnd)-YEAR(repDate))*12+MONTH(ppEnd)-MONTH(repDate)+IF(DAY(repDate)&lt;DAY(ppEnd),1,0))</f>
        <v>0</v>
      </c>
      <c r="BE81" s="12"/>
      <c r="BF81" s="23"/>
      <c r="BG81" s="525">
        <f ca="1">BC81*actGuar</f>
        <v>0</v>
      </c>
      <c r="BH81" s="526"/>
      <c r="BI81" s="526"/>
      <c r="BJ81" s="527"/>
      <c r="BK81" s="527"/>
      <c r="BL81" s="527"/>
      <c r="BM81" s="527"/>
      <c r="BN81" s="527"/>
      <c r="BO81" s="543"/>
      <c r="BP81" s="525">
        <f t="shared" ca="1" si="2"/>
        <v>0</v>
      </c>
      <c r="BQ81" s="526"/>
      <c r="BR81" s="526"/>
      <c r="BS81" s="527"/>
      <c r="BT81" s="527"/>
      <c r="BU81" s="527"/>
      <c r="BV81" s="527"/>
      <c r="BW81" s="527"/>
      <c r="BX81" s="543"/>
    </row>
    <row r="82" spans="53:76" ht="12.75" customHeight="1" x14ac:dyDescent="0.15">
      <c r="BB82" s="51">
        <v>2</v>
      </c>
      <c r="BC82" s="98">
        <f t="shared" ref="BC82:BC86" ca="1" si="3">IF(BB82=wariant,1,0)</f>
        <v>0</v>
      </c>
      <c r="BD82" s="95">
        <f ca="1">IF(BC82=0,0,rocznica*MIN(12,IF(repDate&lt;=ppStart,realNewEndNo,realActEndNo)-ppStartNo))</f>
        <v>0</v>
      </c>
      <c r="BE82" s="12"/>
      <c r="BF82" s="91">
        <f ca="1">IF(OR(BC82=0,AND(repDate=ppStart,rocznica)),0,amtMonths-IF(repDate&lt;ppStart,BD82,0))</f>
        <v>0</v>
      </c>
      <c r="BG82" s="525">
        <f ca="1">BC82*rocznica*(IF(typKredytu=1, IF(repDate&lt;=ppStart,newGuar,actAmt), actAmt))</f>
        <v>0</v>
      </c>
      <c r="BH82" s="526"/>
      <c r="BI82" s="526"/>
      <c r="BJ82" s="527"/>
      <c r="BK82" s="527"/>
      <c r="BL82" s="527"/>
      <c r="BM82" s="507">
        <f ca="1">BC82*MAX(newGuar-IF(repDate&lt;ppStart,actGuar,actAmt),0)</f>
        <v>0</v>
      </c>
      <c r="BN82" s="508"/>
      <c r="BO82" s="509"/>
      <c r="BP82" s="525">
        <f t="shared" ca="1" si="2"/>
        <v>0</v>
      </c>
      <c r="BQ82" s="526"/>
      <c r="BR82" s="526"/>
      <c r="BS82" s="527"/>
      <c r="BT82" s="527"/>
      <c r="BU82" s="527"/>
      <c r="BV82" s="526">
        <f ca="1">BC82*ROUND((BM82*prowizja)/12*BF82,2)</f>
        <v>0</v>
      </c>
      <c r="BW82" s="526"/>
      <c r="BX82" s="547"/>
    </row>
    <row r="83" spans="53:76" ht="12.75" customHeight="1" x14ac:dyDescent="0.15">
      <c r="BB83" s="51">
        <v>3</v>
      </c>
      <c r="BC83" s="98">
        <f t="shared" ca="1" si="3"/>
        <v>0</v>
      </c>
      <c r="BD83" s="95">
        <f ca="1">IF(BC83=0,0,rocznica*MIN(12,IF(repDate&lt;=ppStart,realNewEndNo,realActEndNo)-ppStartNo))</f>
        <v>0</v>
      </c>
      <c r="BE83" s="97">
        <f ca="1">IF(AND(BC83=1,OR(repDate&gt;ppStart,repDate=actStart),realActEndNo&lt;ppEndNo),ppEndNo-realActEndNo,0)</f>
        <v>0</v>
      </c>
      <c r="BF83" s="23"/>
      <c r="BG83" s="525">
        <f ca="1">BC83*rocznica*actAmt</f>
        <v>0</v>
      </c>
      <c r="BH83" s="526"/>
      <c r="BI83" s="526"/>
      <c r="BJ83" s="526">
        <f ca="1">BC83*actAmt</f>
        <v>0</v>
      </c>
      <c r="BK83" s="526"/>
      <c r="BL83" s="526"/>
      <c r="BM83" s="527"/>
      <c r="BN83" s="527"/>
      <c r="BO83" s="543"/>
      <c r="BP83" s="525">
        <f t="shared" ca="1" si="2"/>
        <v>0</v>
      </c>
      <c r="BQ83" s="526"/>
      <c r="BR83" s="526"/>
      <c r="BS83" s="526">
        <f ca="1">BC83*ROUND((BJ83*prowizja)/12*BE83,2)</f>
        <v>0</v>
      </c>
      <c r="BT83" s="526"/>
      <c r="BU83" s="526"/>
      <c r="BV83" s="527"/>
      <c r="BW83" s="527"/>
      <c r="BX83" s="543"/>
    </row>
    <row r="84" spans="53:76" ht="12.75" customHeight="1" x14ac:dyDescent="0.15">
      <c r="BB84" s="51">
        <v>4</v>
      </c>
      <c r="BC84" s="98">
        <f t="shared" ca="1" si="3"/>
        <v>0</v>
      </c>
      <c r="BD84" s="95">
        <f ca="1">IF(BC84=0,0,rocznica*MIN(12,IF(repDate&lt;=ppStart,realNewEndNo,realActEndNo)-ppStartNo))</f>
        <v>0</v>
      </c>
      <c r="BE84" s="97">
        <f ca="1">IF(AND(BC84=1,OR(repDate&gt;ppStart,repDate=actStart),realActEndNo&lt;ppEndNo),ppEndNo-realActEndNo,0)</f>
        <v>0</v>
      </c>
      <c r="BF84" s="23"/>
      <c r="BG84" s="525">
        <f ca="1">BC84*rocznica*(IF(repDate&gt;ppStart,MIN(actGuar,actAmtInp),actAmt))</f>
        <v>0</v>
      </c>
      <c r="BH84" s="526"/>
      <c r="BI84" s="526"/>
      <c r="BJ84" s="507">
        <f ca="1">BC84*newGuar</f>
        <v>0</v>
      </c>
      <c r="BK84" s="508"/>
      <c r="BL84" s="538"/>
      <c r="BM84" s="527"/>
      <c r="BN84" s="527"/>
      <c r="BO84" s="543"/>
      <c r="BP84" s="525">
        <f t="shared" ca="1" si="2"/>
        <v>0</v>
      </c>
      <c r="BQ84" s="526"/>
      <c r="BR84" s="526"/>
      <c r="BS84" s="526">
        <f ca="1">BC84*ROUND((BJ84*prowizja)/12*BE84,2)</f>
        <v>0</v>
      </c>
      <c r="BT84" s="526"/>
      <c r="BU84" s="526"/>
      <c r="BV84" s="458"/>
      <c r="BW84" s="459"/>
      <c r="BX84" s="460"/>
    </row>
    <row r="85" spans="53:76" ht="12.75" customHeight="1" x14ac:dyDescent="0.15">
      <c r="BB85" s="51">
        <v>5</v>
      </c>
      <c r="BC85" s="98">
        <f t="shared" ca="1" si="3"/>
        <v>0</v>
      </c>
      <c r="BD85" s="95">
        <f t="shared" ca="1" si="1"/>
        <v>0</v>
      </c>
      <c r="BE85" s="97">
        <f ca="1">IF(AND(BC85=1,OR(repDate&gt;ppStart,repDate=actStart),realActEndNo&lt;ppEndNo),ppEndNo-realActEndNo,0)</f>
        <v>0</v>
      </c>
      <c r="BF85" s="91">
        <f ca="1">IF(BC85=0,0,amtMonths-IF(repDate&lt;=ppStart,BD85,0))</f>
        <v>0</v>
      </c>
      <c r="BG85" s="525">
        <f ca="1">BC85*rocznica*(IF(typKredytu=1, IF(repDate&lt;=ppStart,newGuar,actAmt), actAmt))</f>
        <v>0</v>
      </c>
      <c r="BH85" s="526"/>
      <c r="BI85" s="526"/>
      <c r="BJ85" s="507">
        <f ca="1">BC85*actAmt</f>
        <v>0</v>
      </c>
      <c r="BK85" s="508"/>
      <c r="BL85" s="538"/>
      <c r="BM85" s="507">
        <f ca="1">BC85*MAX(newGuar-IF(repDate&lt;ppStart,actGuar,actAmt),0)</f>
        <v>0</v>
      </c>
      <c r="BN85" s="508"/>
      <c r="BO85" s="509"/>
      <c r="BP85" s="525">
        <f t="shared" ca="1" si="2"/>
        <v>0</v>
      </c>
      <c r="BQ85" s="526"/>
      <c r="BR85" s="526"/>
      <c r="BS85" s="526">
        <f ca="1">BC85*ROUND((BJ85*prowizja)/12*BE85,2)</f>
        <v>0</v>
      </c>
      <c r="BT85" s="526"/>
      <c r="BU85" s="526"/>
      <c r="BV85" s="526">
        <f ca="1">BC85*ROUND((BM85*prowizja)/12*BF85,2)</f>
        <v>0</v>
      </c>
      <c r="BW85" s="526"/>
      <c r="BX85" s="547"/>
    </row>
    <row r="86" spans="53:76" ht="12.75" customHeight="1" thickBot="1" x14ac:dyDescent="0.2">
      <c r="BB86" s="53">
        <v>6</v>
      </c>
      <c r="BC86" s="101">
        <f t="shared" ca="1" si="3"/>
        <v>0</v>
      </c>
      <c r="BD86" s="96">
        <f ca="1">IF(BC86=0,0,rocznica*MIN(12,IF(repDate&lt;=ppStart,realNewEndNo,realActEndNo)-ppStartNo))</f>
        <v>0</v>
      </c>
      <c r="BE86" s="16"/>
      <c r="BF86" s="93">
        <f ca="1">IF(BC86=0,0,amtMonths-IF(repDate&lt;=ppStart,BD86,0))</f>
        <v>0</v>
      </c>
      <c r="BG86" s="536">
        <f ca="1">BC86*rocznica*(IF(typKredytu=1, IF(repDate&lt;=ppStart,newGuar,actAmt), actAmt))</f>
        <v>0</v>
      </c>
      <c r="BH86" s="537"/>
      <c r="BI86" s="537"/>
      <c r="BJ86" s="544"/>
      <c r="BK86" s="544"/>
      <c r="BL86" s="544"/>
      <c r="BM86" s="539">
        <f ca="1">BC86*MAX(newGuar-IF(repDate&lt;ppStart,actGuar,actAmt),0)</f>
        <v>0</v>
      </c>
      <c r="BN86" s="540"/>
      <c r="BO86" s="541"/>
      <c r="BP86" s="536">
        <f t="shared" ca="1" si="2"/>
        <v>0</v>
      </c>
      <c r="BQ86" s="537"/>
      <c r="BR86" s="537"/>
      <c r="BS86" s="544"/>
      <c r="BT86" s="544"/>
      <c r="BU86" s="544"/>
      <c r="BV86" s="537">
        <f ca="1">BC86*ROUND((BM86*prowizja)/12*BF86,2)</f>
        <v>0</v>
      </c>
      <c r="BW86" s="537"/>
      <c r="BX86" s="542"/>
    </row>
    <row r="87" spans="53:76" x14ac:dyDescent="0.15">
      <c r="BA87" s="116"/>
      <c r="BB87" s="116"/>
      <c r="BC87" s="117"/>
      <c r="BD87" s="117"/>
      <c r="BE87" s="117"/>
      <c r="BF87" s="117"/>
      <c r="BG87" s="116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17"/>
      <c r="BW87" s="117"/>
      <c r="BX87" s="117"/>
    </row>
    <row r="88" spans="53:76" x14ac:dyDescent="0.15"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89"/>
      <c r="BV88" s="89"/>
      <c r="BW88" s="89"/>
      <c r="BX88" s="89"/>
    </row>
    <row r="89" spans="53:76" ht="12.75" customHeight="1" x14ac:dyDescent="0.15">
      <c r="BB89" s="554" t="s">
        <v>216</v>
      </c>
      <c r="BC89" s="555"/>
      <c r="BD89" s="556" t="s">
        <v>217</v>
      </c>
      <c r="BE89" s="557"/>
      <c r="BF89" s="557"/>
      <c r="BG89" s="118" t="s">
        <v>218</v>
      </c>
      <c r="BH89" s="118" t="s">
        <v>219</v>
      </c>
      <c r="BI89" s="118" t="s">
        <v>220</v>
      </c>
      <c r="BJ89" s="118" t="s">
        <v>221</v>
      </c>
      <c r="BK89" s="118" t="s">
        <v>222</v>
      </c>
      <c r="BL89" s="118" t="s">
        <v>223</v>
      </c>
      <c r="BM89" s="118" t="s">
        <v>224</v>
      </c>
      <c r="BN89" s="118" t="s">
        <v>225</v>
      </c>
      <c r="BO89" s="118" t="s">
        <v>226</v>
      </c>
      <c r="BP89" s="118" t="s">
        <v>227</v>
      </c>
      <c r="BQ89" s="118" t="s">
        <v>228</v>
      </c>
      <c r="BR89" s="118" t="s">
        <v>229</v>
      </c>
      <c r="BS89" s="118" t="s">
        <v>29</v>
      </c>
      <c r="BT89" s="118" t="s">
        <v>230</v>
      </c>
      <c r="BU89" s="561" t="s">
        <v>231</v>
      </c>
      <c r="BV89" s="559"/>
      <c r="BW89" s="558" t="s">
        <v>232</v>
      </c>
      <c r="BX89" s="559"/>
    </row>
    <row r="90" spans="53:76" ht="12.75" customHeight="1" x14ac:dyDescent="0.15">
      <c r="BB90" s="590" t="s">
        <v>233</v>
      </c>
      <c r="BC90" s="591"/>
      <c r="BD90" s="592">
        <f>actStart</f>
        <v>0</v>
      </c>
      <c r="BE90" s="592"/>
      <c r="BF90" s="592"/>
      <c r="BG90" s="133">
        <f>MOD(YEAR(BD90),19)</f>
        <v>0</v>
      </c>
      <c r="BH90" s="133">
        <f>INT(YEAR(BD90)/100)</f>
        <v>19</v>
      </c>
      <c r="BI90" s="133">
        <f>MOD(YEAR(BD90),100)</f>
        <v>0</v>
      </c>
      <c r="BJ90" s="133">
        <f>+INT(BH90/4)</f>
        <v>4</v>
      </c>
      <c r="BK90" s="133">
        <f>MOD(BH90,4)</f>
        <v>3</v>
      </c>
      <c r="BL90" s="133">
        <f>INT((BH90+8)/25)</f>
        <v>1</v>
      </c>
      <c r="BM90" s="133">
        <f>INT((BH90-BL90+1)/3)</f>
        <v>6</v>
      </c>
      <c r="BN90" s="133">
        <f>MOD(19*BG90+BH90-BJ90-BM90+15,30)</f>
        <v>24</v>
      </c>
      <c r="BO90" s="133">
        <f>INT(BI90/4)</f>
        <v>0</v>
      </c>
      <c r="BP90" s="133">
        <f>MOD(BI90,4)</f>
        <v>0</v>
      </c>
      <c r="BQ90" s="133">
        <f>MOD(32+2*BK90+2*BO90-BN90-BP90,7)</f>
        <v>0</v>
      </c>
      <c r="BR90" s="133">
        <f>INT((BG90+11*BN90+22*BQ90)/451)</f>
        <v>0</v>
      </c>
      <c r="BS90" s="133">
        <f>MOD(BN90+BQ90-7*BR90+114,31)</f>
        <v>14</v>
      </c>
      <c r="BT90" s="133">
        <f>INT((BN90+BQ90-7*BR90+114)/31)</f>
        <v>4</v>
      </c>
      <c r="BU90" s="562">
        <f>DATE(YEAR(BD90),BT90,BS90+1)</f>
        <v>106</v>
      </c>
      <c r="BV90" s="563"/>
      <c r="BW90" s="595" t="b">
        <f>AND(BD90&lt;&gt;0,OR(WEEKDAY(BD90)=1, NOT(ISERROR(VLOOKUP(BD90,holidaysActStart,1,FALSE)))))</f>
        <v>0</v>
      </c>
      <c r="BX90" s="596"/>
    </row>
    <row r="91" spans="53:76" ht="12.75" customHeight="1" x14ac:dyDescent="0.15">
      <c r="BB91" s="473" t="s">
        <v>234</v>
      </c>
      <c r="BC91" s="474"/>
      <c r="BD91" s="441">
        <f ca="1">chgDate</f>
        <v>45370</v>
      </c>
      <c r="BE91" s="442"/>
      <c r="BF91" s="443"/>
      <c r="BG91" s="134">
        <f ca="1">MOD(YEAR(BD91),19)</f>
        <v>10</v>
      </c>
      <c r="BH91" s="134">
        <f ca="1">INT(YEAR(BD91)/100)</f>
        <v>20</v>
      </c>
      <c r="BI91" s="134">
        <f ca="1">MOD(YEAR(BD91),100)</f>
        <v>24</v>
      </c>
      <c r="BJ91" s="134">
        <f ca="1">+INT(BH91/4)</f>
        <v>5</v>
      </c>
      <c r="BK91" s="134">
        <f ca="1">MOD(BH91,4)</f>
        <v>0</v>
      </c>
      <c r="BL91" s="134">
        <f ca="1">INT((BH91+8)/25)</f>
        <v>1</v>
      </c>
      <c r="BM91" s="134">
        <f ca="1">INT((BH91-BL91+1)/3)</f>
        <v>6</v>
      </c>
      <c r="BN91" s="134">
        <f ca="1">MOD(19*BG91+BH91-BJ91-BM91+15,30)</f>
        <v>4</v>
      </c>
      <c r="BO91" s="134">
        <f ca="1">INT(BI91/4)</f>
        <v>6</v>
      </c>
      <c r="BP91" s="134">
        <f ca="1">MOD(BI91,4)</f>
        <v>0</v>
      </c>
      <c r="BQ91" s="134">
        <f ca="1">MOD(32+2*BK91+2*BO91-BN91-BP91,7)</f>
        <v>5</v>
      </c>
      <c r="BR91" s="134">
        <f ca="1">INT((BG91+11*BN91+22*BQ91)/451)</f>
        <v>0</v>
      </c>
      <c r="BS91" s="134">
        <f ca="1">MOD(BN91+BQ91-7*BR91+114,31)</f>
        <v>30</v>
      </c>
      <c r="BT91" s="134">
        <f ca="1">INT((BN91+BQ91-7*BR91+114)/31)</f>
        <v>3</v>
      </c>
      <c r="BU91" s="444">
        <f ca="1">DATE(YEAR(BD91),BT91,BS91+1)</f>
        <v>45382</v>
      </c>
      <c r="BV91" s="445"/>
      <c r="BW91" s="446" t="b">
        <f ca="1">AND(BD91&lt;&gt;0,OR(WEEKDAY(BD91)=1, NOT(ISERROR(VLOOKUP(BD91,holidaysChgDate,1,FALSE)))))</f>
        <v>0</v>
      </c>
      <c r="BX91" s="447"/>
    </row>
    <row r="92" spans="53:76" ht="12.75" customHeight="1" x14ac:dyDescent="0.15">
      <c r="BB92" s="473" t="s">
        <v>343</v>
      </c>
      <c r="BC92" s="474"/>
      <c r="BD92" s="441">
        <f ca="1">aidDate</f>
        <v>45370</v>
      </c>
      <c r="BE92" s="442"/>
      <c r="BF92" s="443"/>
      <c r="BG92" s="134">
        <f ca="1">MOD(YEAR(BD92),19)</f>
        <v>10</v>
      </c>
      <c r="BH92" s="134">
        <f ca="1">INT(YEAR(BD92)/100)</f>
        <v>20</v>
      </c>
      <c r="BI92" s="134">
        <f ca="1">MOD(YEAR(BD92),100)</f>
        <v>24</v>
      </c>
      <c r="BJ92" s="134">
        <f ca="1">+INT(BH92/4)</f>
        <v>5</v>
      </c>
      <c r="BK92" s="134">
        <f ca="1">MOD(BH92,4)</f>
        <v>0</v>
      </c>
      <c r="BL92" s="134">
        <f ca="1">INT((BH92+8)/25)</f>
        <v>1</v>
      </c>
      <c r="BM92" s="134">
        <f ca="1">INT((BH92-BL92+1)/3)</f>
        <v>6</v>
      </c>
      <c r="BN92" s="134">
        <f ca="1">MOD(19*BG92+BH92-BJ92-BM92+15,30)</f>
        <v>4</v>
      </c>
      <c r="BO92" s="134">
        <f ca="1">INT(BI92/4)</f>
        <v>6</v>
      </c>
      <c r="BP92" s="134">
        <f ca="1">MOD(BI92,4)</f>
        <v>0</v>
      </c>
      <c r="BQ92" s="134">
        <f ca="1">MOD(32+2*BK92+2*BO92-BN92-BP92,7)</f>
        <v>5</v>
      </c>
      <c r="BR92" s="134">
        <f ca="1">INT((BG92+11*BN92+22*BQ92)/451)</f>
        <v>0</v>
      </c>
      <c r="BS92" s="134">
        <f ca="1">MOD(BN92+BQ92-7*BR92+114,31)</f>
        <v>30</v>
      </c>
      <c r="BT92" s="134">
        <f ca="1">INT((BN92+BQ92-7*BR92+114)/31)</f>
        <v>3</v>
      </c>
      <c r="BU92" s="444">
        <f ca="1">DATE(YEAR(BD92),BT92,BS92+1)</f>
        <v>45382</v>
      </c>
      <c r="BV92" s="445"/>
      <c r="BW92" s="446" t="b">
        <f ca="1">AND(BD92&lt;&gt;0,OR(WEEKDAY(BD92)=1, NOT(ISERROR(VLOOKUP(BD92,holidaysAidDate,1,FALSE)))))</f>
        <v>0</v>
      </c>
      <c r="BX92" s="447"/>
    </row>
    <row r="94" spans="53:76" ht="306.95" customHeight="1" x14ac:dyDescent="0.15"/>
  </sheetData>
  <sheetProtection algorithmName="SHA-512" hashValue="BpmOdysnKHWBxs3Ys3XqAQ2AnPyBGiS2Xi1cJRY+42+uyQDzD3kHYhWP7CYlguWnGTIzVymjV93DWdYOiktvuA==" saltValue="TM488nzgAzdc8H1+pccsFA==" spinCount="100000" sheet="1" objects="1" scenarios="1"/>
  <mergeCells count="214">
    <mergeCell ref="CF26:CF28"/>
    <mergeCell ref="CG26:CG28"/>
    <mergeCell ref="CH26:CH28"/>
    <mergeCell ref="BZ25:CC26"/>
    <mergeCell ref="CC29:CD29"/>
    <mergeCell ref="CC31:CD31"/>
    <mergeCell ref="CC33:CD33"/>
    <mergeCell ref="AP25:AV26"/>
    <mergeCell ref="BR17:BU17"/>
    <mergeCell ref="BM23:BN23"/>
    <mergeCell ref="BV23:BX23"/>
    <mergeCell ref="BV25:BW25"/>
    <mergeCell ref="BM33:BN33"/>
    <mergeCell ref="BV31:BX31"/>
    <mergeCell ref="BU91:BV91"/>
    <mergeCell ref="M6:AJ7"/>
    <mergeCell ref="BB7:BB8"/>
    <mergeCell ref="BC7:BC8"/>
    <mergeCell ref="BD7:BD8"/>
    <mergeCell ref="BB90:BC90"/>
    <mergeCell ref="BD90:BF90"/>
    <mergeCell ref="BS80:BU80"/>
    <mergeCell ref="BT70:BV70"/>
    <mergeCell ref="BV79:BX79"/>
    <mergeCell ref="BP79:BR79"/>
    <mergeCell ref="BP78:BX78"/>
    <mergeCell ref="BW70:BX70"/>
    <mergeCell ref="BW71:BX71"/>
    <mergeCell ref="BT73:BV73"/>
    <mergeCell ref="BT74:BV74"/>
    <mergeCell ref="BW73:BX73"/>
    <mergeCell ref="BO73:BS73"/>
    <mergeCell ref="BW90:BX90"/>
    <mergeCell ref="BB91:BC91"/>
    <mergeCell ref="BS81:BU81"/>
    <mergeCell ref="BG80:BI80"/>
    <mergeCell ref="BR9:BS9"/>
    <mergeCell ref="AF29:AI29"/>
    <mergeCell ref="AB31:AH31"/>
    <mergeCell ref="AB39:AH39"/>
    <mergeCell ref="AH33:AI33"/>
    <mergeCell ref="AH41:AI41"/>
    <mergeCell ref="G6:K7"/>
    <mergeCell ref="X25:Z25"/>
    <mergeCell ref="X19:AA19"/>
    <mergeCell ref="X11:AF11"/>
    <mergeCell ref="X15:AE15"/>
    <mergeCell ref="X29:AB29"/>
    <mergeCell ref="X39:AA39"/>
    <mergeCell ref="X41:AA41"/>
    <mergeCell ref="X13:AF13"/>
    <mergeCell ref="X9:AF9"/>
    <mergeCell ref="X17:AE17"/>
    <mergeCell ref="X31:AA31"/>
    <mergeCell ref="X33:AA33"/>
    <mergeCell ref="AF37:AI37"/>
    <mergeCell ref="X23:AA23"/>
    <mergeCell ref="AB23:AH23"/>
    <mergeCell ref="X37:AB37"/>
    <mergeCell ref="BB78:BC79"/>
    <mergeCell ref="BE73:BG73"/>
    <mergeCell ref="BV81:BX81"/>
    <mergeCell ref="BD91:BF91"/>
    <mergeCell ref="BW91:BX91"/>
    <mergeCell ref="BT41:BX41"/>
    <mergeCell ref="BB89:BC89"/>
    <mergeCell ref="BD89:BF89"/>
    <mergeCell ref="BW89:BX89"/>
    <mergeCell ref="BG86:BI86"/>
    <mergeCell ref="BJ80:BL80"/>
    <mergeCell ref="BJ81:BL81"/>
    <mergeCell ref="BM80:BO80"/>
    <mergeCell ref="BS79:BU79"/>
    <mergeCell ref="BJ86:BL86"/>
    <mergeCell ref="BM83:BO83"/>
    <mergeCell ref="BG84:BI84"/>
    <mergeCell ref="BT69:BV69"/>
    <mergeCell ref="BW69:BX69"/>
    <mergeCell ref="BP81:BR81"/>
    <mergeCell ref="BV83:BX83"/>
    <mergeCell ref="BU89:BV89"/>
    <mergeCell ref="BV82:BX82"/>
    <mergeCell ref="BU90:BV90"/>
    <mergeCell ref="BW74:BX74"/>
    <mergeCell ref="BO70:BS70"/>
    <mergeCell ref="BS82:BU82"/>
    <mergeCell ref="BV80:BX80"/>
    <mergeCell ref="BV84:BX84"/>
    <mergeCell ref="BS83:BU83"/>
    <mergeCell ref="BV85:BX85"/>
    <mergeCell ref="BS84:BU84"/>
    <mergeCell ref="BP80:BR80"/>
    <mergeCell ref="BM81:BO81"/>
    <mergeCell ref="BP86:BR86"/>
    <mergeCell ref="BM85:BO85"/>
    <mergeCell ref="BJ84:BL84"/>
    <mergeCell ref="BM86:BO86"/>
    <mergeCell ref="BJ85:BL85"/>
    <mergeCell ref="BS85:BU85"/>
    <mergeCell ref="BV86:BX86"/>
    <mergeCell ref="BM84:BO84"/>
    <mergeCell ref="BS86:BU86"/>
    <mergeCell ref="BG79:BI79"/>
    <mergeCell ref="BQ76:BS76"/>
    <mergeCell ref="BK70:BM70"/>
    <mergeCell ref="BK69:BM69"/>
    <mergeCell ref="BG82:BI82"/>
    <mergeCell ref="BG83:BI83"/>
    <mergeCell ref="BG85:BI85"/>
    <mergeCell ref="BP84:BR84"/>
    <mergeCell ref="BJ83:BL83"/>
    <mergeCell ref="BP85:BR85"/>
    <mergeCell ref="BJ82:BL82"/>
    <mergeCell ref="BP82:BR82"/>
    <mergeCell ref="BM82:BO82"/>
    <mergeCell ref="BP83:BR83"/>
    <mergeCell ref="BG81:BI81"/>
    <mergeCell ref="BK71:BM71"/>
    <mergeCell ref="BE72:BG72"/>
    <mergeCell ref="BO74:BS74"/>
    <mergeCell ref="BK72:BM72"/>
    <mergeCell ref="BK73:BM73"/>
    <mergeCell ref="BD78:BF78"/>
    <mergeCell ref="BG76:BI76"/>
    <mergeCell ref="BG78:BO78"/>
    <mergeCell ref="BE71:BG71"/>
    <mergeCell ref="BO69:BS69"/>
    <mergeCell ref="BG55:BJ57"/>
    <mergeCell ref="BG60:BX61"/>
    <mergeCell ref="BV56:BX56"/>
    <mergeCell ref="BM57:BO57"/>
    <mergeCell ref="BV58:BX58"/>
    <mergeCell ref="BV57:BX57"/>
    <mergeCell ref="BT66:BV66"/>
    <mergeCell ref="BW66:BX66"/>
    <mergeCell ref="BO66:BS66"/>
    <mergeCell ref="BT65:BV65"/>
    <mergeCell ref="BE67:BG67"/>
    <mergeCell ref="BK67:BM67"/>
    <mergeCell ref="BH65:BJ65"/>
    <mergeCell ref="BK68:BM68"/>
    <mergeCell ref="BE68:BG68"/>
    <mergeCell ref="BB92:BC92"/>
    <mergeCell ref="BV39:BX39"/>
    <mergeCell ref="BM41:BN41"/>
    <mergeCell ref="BM39:BO39"/>
    <mergeCell ref="C53:AK53"/>
    <mergeCell ref="C54:AK54"/>
    <mergeCell ref="C55:AK55"/>
    <mergeCell ref="I51:M51"/>
    <mergeCell ref="I49:M50"/>
    <mergeCell ref="N49:Q50"/>
    <mergeCell ref="W49:Z50"/>
    <mergeCell ref="AA49:AD50"/>
    <mergeCell ref="AE49:AH50"/>
    <mergeCell ref="N51:Q51"/>
    <mergeCell ref="R48:S52"/>
    <mergeCell ref="W51:Z51"/>
    <mergeCell ref="AD45:AH45"/>
    <mergeCell ref="AE51:AH51"/>
    <mergeCell ref="BD64:BG64"/>
    <mergeCell ref="BB65:BC66"/>
    <mergeCell ref="BE65:BG66"/>
    <mergeCell ref="BD65:BD66"/>
    <mergeCell ref="BE69:BG69"/>
    <mergeCell ref="AA51:AD51"/>
    <mergeCell ref="BD92:BF92"/>
    <mergeCell ref="BU92:BV92"/>
    <mergeCell ref="BW92:BX92"/>
    <mergeCell ref="BS58:BU58"/>
    <mergeCell ref="BS59:BU59"/>
    <mergeCell ref="BV59:BX59"/>
    <mergeCell ref="BH64:BM64"/>
    <mergeCell ref="BV53:BX53"/>
    <mergeCell ref="BM58:BO58"/>
    <mergeCell ref="BM53:BN53"/>
    <mergeCell ref="BP53:BQ53"/>
    <mergeCell ref="BK65:BM66"/>
    <mergeCell ref="BE70:BG70"/>
    <mergeCell ref="BJ79:BL79"/>
    <mergeCell ref="BM79:BO79"/>
    <mergeCell ref="BV63:BX63"/>
    <mergeCell ref="BW65:BX65"/>
    <mergeCell ref="BO62:BQ63"/>
    <mergeCell ref="BS56:BU56"/>
    <mergeCell ref="BS57:BU57"/>
    <mergeCell ref="BM56:BO56"/>
    <mergeCell ref="BM59:BO59"/>
    <mergeCell ref="BO65:BS65"/>
    <mergeCell ref="BB62:BF63"/>
    <mergeCell ref="BY63:BZ63"/>
    <mergeCell ref="C6:F7"/>
    <mergeCell ref="CD9:CH9"/>
    <mergeCell ref="AO20:AW22"/>
    <mergeCell ref="AN20:AN22"/>
    <mergeCell ref="AX20:AX22"/>
    <mergeCell ref="BE7:BE8"/>
    <mergeCell ref="BE20:BE22"/>
    <mergeCell ref="AP11:AV19"/>
    <mergeCell ref="BV51:BX51"/>
    <mergeCell ref="BM37:BO37"/>
    <mergeCell ref="BM29:BO29"/>
    <mergeCell ref="BM31:BN31"/>
    <mergeCell ref="BV33:BX33"/>
    <mergeCell ref="BV49:BX49"/>
    <mergeCell ref="BM25:BN25"/>
    <mergeCell ref="BT45:BX45"/>
    <mergeCell ref="BM45:BO45"/>
    <mergeCell ref="BM49:BN49"/>
    <mergeCell ref="BM51:BN51"/>
    <mergeCell ref="BP49:BQ49"/>
    <mergeCell ref="BP51:BQ51"/>
    <mergeCell ref="BV29:BW29"/>
    <mergeCell ref="BV9:BW9"/>
  </mergeCells>
  <phoneticPr fontId="3" type="noConversion"/>
  <conditionalFormatting sqref="B53:AL53">
    <cfRule type="expression" dxfId="68" priority="82">
      <formula>AND(error=0,$BE$56=0)</formula>
    </cfRule>
  </conditionalFormatting>
  <conditionalFormatting sqref="B54:AL57">
    <cfRule type="expression" dxfId="67" priority="80">
      <formula>AND(error=0,$BE$56=0)</formula>
    </cfRule>
  </conditionalFormatting>
  <conditionalFormatting sqref="C53:AK53">
    <cfRule type="expression" dxfId="66" priority="73">
      <formula>$BD$53=47</formula>
    </cfRule>
  </conditionalFormatting>
  <conditionalFormatting sqref="I49:Q51">
    <cfRule type="expression" dxfId="65" priority="68">
      <formula>$BE$49=0</formula>
    </cfRule>
  </conditionalFormatting>
  <conditionalFormatting sqref="W9">
    <cfRule type="expression" dxfId="64" priority="54" stopIfTrue="1">
      <formula>$BB9=0</formula>
    </cfRule>
    <cfRule type="expression" dxfId="63" priority="53" stopIfTrue="1">
      <formula>AND($BC9=1,$BD9&lt;&gt;"")</formula>
    </cfRule>
  </conditionalFormatting>
  <conditionalFormatting sqref="W11 W20:AE20 X26:AE26 W28:W33 W34:AE34 W42:AE42 W37:W41 W19 W23 W25:W26">
    <cfRule type="expression" dxfId="62" priority="149" stopIfTrue="1">
      <formula>$BB11=0</formula>
    </cfRule>
  </conditionalFormatting>
  <conditionalFormatting sqref="W11 W20:AE20 X26:AE26 W28:W33 W34:AE34 W42:AE42">
    <cfRule type="expression" dxfId="61" priority="148" stopIfTrue="1">
      <formula>AND($BC11=1,$BD11&lt;&gt;"")</formula>
    </cfRule>
  </conditionalFormatting>
  <conditionalFormatting sqref="W13:W17">
    <cfRule type="expression" dxfId="60" priority="52" stopIfTrue="1">
      <formula>$BB13=0</formula>
    </cfRule>
  </conditionalFormatting>
  <conditionalFormatting sqref="W13:W19">
    <cfRule type="expression" dxfId="59" priority="51" stopIfTrue="1">
      <formula>AND($BC13=1,$BD13&lt;&gt;"")</formula>
    </cfRule>
  </conditionalFormatting>
  <conditionalFormatting sqref="W18">
    <cfRule type="expression" dxfId="58" priority="111" stopIfTrue="1">
      <formula>$BB18=0</formula>
    </cfRule>
  </conditionalFormatting>
  <conditionalFormatting sqref="W22">
    <cfRule type="expression" dxfId="57" priority="46" stopIfTrue="1">
      <formula>$BB22=0</formula>
    </cfRule>
  </conditionalFormatting>
  <conditionalFormatting sqref="W22:W26">
    <cfRule type="expression" dxfId="56" priority="29" stopIfTrue="1">
      <formula>AND($BC22=1,$BD22&lt;&gt;"")</formula>
    </cfRule>
  </conditionalFormatting>
  <conditionalFormatting sqref="W24">
    <cfRule type="expression" dxfId="55" priority="30" stopIfTrue="1">
      <formula>$BB24=0</formula>
    </cfRule>
  </conditionalFormatting>
  <conditionalFormatting sqref="W36">
    <cfRule type="expression" dxfId="54" priority="88" stopIfTrue="1">
      <formula>$BB36=0</formula>
    </cfRule>
  </conditionalFormatting>
  <conditionalFormatting sqref="W36:W41">
    <cfRule type="expression" dxfId="53" priority="87" stopIfTrue="1">
      <formula>AND($BC36=1,$BD36&lt;&gt;"")</formula>
    </cfRule>
  </conditionalFormatting>
  <conditionalFormatting sqref="W44">
    <cfRule type="expression" dxfId="52" priority="86" stopIfTrue="1">
      <formula>$BB44=0</formula>
    </cfRule>
    <cfRule type="expression" dxfId="51" priority="85" stopIfTrue="1">
      <formula>AND($BC44=1,$BD44&lt;&gt;"")</formula>
    </cfRule>
  </conditionalFormatting>
  <conditionalFormatting sqref="W49:AH51">
    <cfRule type="expression" dxfId="50" priority="67">
      <formula>$BE$51=0</formula>
    </cfRule>
  </conditionalFormatting>
  <conditionalFormatting sqref="X9">
    <cfRule type="expression" dxfId="49" priority="55">
      <formula>AND($BC9=1,$BD9&lt;&gt;"")</formula>
    </cfRule>
  </conditionalFormatting>
  <conditionalFormatting sqref="X11 X15 X17 X19 X25 X29 X31 X33 X37 X39 X41">
    <cfRule type="expression" dxfId="48" priority="99">
      <formula>AND($BC11=1,$BD11&lt;&gt;"")</formula>
    </cfRule>
  </conditionalFormatting>
  <conditionalFormatting sqref="X13">
    <cfRule type="expression" dxfId="47" priority="58">
      <formula>AND($BC13=1,$BD13&lt;&gt;"")</formula>
    </cfRule>
  </conditionalFormatting>
  <conditionalFormatting sqref="X23">
    <cfRule type="expression" dxfId="46" priority="33">
      <formula>AND($BC23=1,$BD23&lt;&gt;"")</formula>
    </cfRule>
  </conditionalFormatting>
  <conditionalFormatting sqref="X23:AA23">
    <cfRule type="expression" dxfId="45" priority="34" stopIfTrue="1">
      <formula>$BB23=0</formula>
    </cfRule>
  </conditionalFormatting>
  <conditionalFormatting sqref="X11:AF11 X15:AE15 X17:AE17 X19:AA19 X25:Z25 X29:AB29 X31:AA31 X33:AA33 X37:AB37 X39:AA39 X41:AA41 X13:AF13">
    <cfRule type="expression" dxfId="44" priority="150" stopIfTrue="1">
      <formula>$BB11=0</formula>
    </cfRule>
  </conditionalFormatting>
  <conditionalFormatting sqref="AB23 AB31 AB39">
    <cfRule type="expression" dxfId="43" priority="640">
      <formula>AND($BE23=1,$X23&lt;&gt;"")</formula>
    </cfRule>
  </conditionalFormatting>
  <conditionalFormatting sqref="AC45">
    <cfRule type="expression" dxfId="42" priority="354" stopIfTrue="1">
      <formula>AND($BC45=1,$BD45&lt;&gt;"")</formula>
    </cfRule>
    <cfRule type="expression" dxfId="41" priority="355" stopIfTrue="1">
      <formula>$BB45=0</formula>
    </cfRule>
  </conditionalFormatting>
  <conditionalFormatting sqref="AD45">
    <cfRule type="expression" dxfId="40" priority="183">
      <formula>AND($BC45=1,$BD45&lt;&gt;"")</formula>
    </cfRule>
  </conditionalFormatting>
  <conditionalFormatting sqref="AD45:AH45">
    <cfRule type="expression" dxfId="39" priority="359" stopIfTrue="1">
      <formula>$BB45=0</formula>
    </cfRule>
  </conditionalFormatting>
  <conditionalFormatting sqref="AE29">
    <cfRule type="expression" dxfId="38" priority="306" stopIfTrue="1">
      <formula>$AF$29&lt;&gt;0</formula>
    </cfRule>
  </conditionalFormatting>
  <conditionalFormatting sqref="AE37">
    <cfRule type="expression" dxfId="37" priority="75" stopIfTrue="1">
      <formula>$AF$37&lt;&gt;0</formula>
    </cfRule>
  </conditionalFormatting>
  <conditionalFormatting sqref="AF29:AI29">
    <cfRule type="cellIs" dxfId="36" priority="65" operator="notEqual">
      <formula>0</formula>
    </cfRule>
  </conditionalFormatting>
  <conditionalFormatting sqref="AF37:AI37">
    <cfRule type="cellIs" dxfId="35" priority="70" operator="notEqual">
      <formula>0</formula>
    </cfRule>
  </conditionalFormatting>
  <conditionalFormatting sqref="AG33 AG41">
    <cfRule type="expression" dxfId="34" priority="353" stopIfTrue="1">
      <formula>$AH33&lt;&gt;""</formula>
    </cfRule>
  </conditionalFormatting>
  <conditionalFormatting sqref="AH33:AI33 AH41:AI41">
    <cfRule type="containsBlanks" dxfId="33" priority="497" stopIfTrue="1">
      <formula>LEN(TRIM(AH33))=0</formula>
    </cfRule>
  </conditionalFormatting>
  <conditionalFormatting sqref="AH33:AI33">
    <cfRule type="expression" dxfId="32" priority="69">
      <formula>$AH$33&lt;&gt;""</formula>
    </cfRule>
  </conditionalFormatting>
  <conditionalFormatting sqref="AM25:AW37">
    <cfRule type="expression" dxfId="31" priority="16" stopIfTrue="1">
      <formula>$CF$37=0</formula>
    </cfRule>
  </conditionalFormatting>
  <conditionalFormatting sqref="AN8:AX22">
    <cfRule type="expression" dxfId="30" priority="2">
      <formula>$AP$11=""</formula>
    </cfRule>
  </conditionalFormatting>
  <conditionalFormatting sqref="AQ29 AS29 AQ31 AS31 AQ33 AS33">
    <cfRule type="expression" dxfId="29" priority="643" stopIfTrue="1">
      <formula>$CF29=1</formula>
    </cfRule>
  </conditionalFormatting>
  <conditionalFormatting sqref="AU29 AU31 AU33">
    <cfRule type="expression" dxfId="28" priority="22" stopIfTrue="1">
      <formula>CF29=0</formula>
    </cfRule>
    <cfRule type="expression" dxfId="27" priority="21">
      <formula>AND(CG29=1,CH29&lt;&gt;"")</formula>
    </cfRule>
  </conditionalFormatting>
  <conditionalFormatting sqref="BC53">
    <cfRule type="expression" dxfId="26" priority="106" stopIfTrue="1">
      <formula>$BD$53&gt;0</formula>
    </cfRule>
  </conditionalFormatting>
  <conditionalFormatting sqref="BD53:BE53">
    <cfRule type="cellIs" dxfId="25" priority="1" stopIfTrue="1" operator="notEqual">
      <formula>0</formula>
    </cfRule>
  </conditionalFormatting>
  <conditionalFormatting sqref="BM48">
    <cfRule type="expression" dxfId="24" priority="28">
      <formula>$BR$53=1</formula>
    </cfRule>
  </conditionalFormatting>
  <conditionalFormatting sqref="BM49:BN51">
    <cfRule type="expression" dxfId="23" priority="26">
      <formula>$BR$53=1</formula>
    </cfRule>
  </conditionalFormatting>
  <conditionalFormatting sqref="BP48">
    <cfRule type="expression" dxfId="22" priority="27">
      <formula>$BR$49=$BR$53</formula>
    </cfRule>
  </conditionalFormatting>
  <conditionalFormatting sqref="BP49:BQ51">
    <cfRule type="expression" dxfId="21" priority="25">
      <formula>$BR$49=$BR$53</formula>
    </cfRule>
  </conditionalFormatting>
  <dataValidations count="19">
    <dataValidation type="list" allowBlank="1" showErrorMessage="1" errorTitle="Wariant" error="Wybierz wariant z dostępnej listy." promptTitle="wariant" prompt="Wybierz wariant z dostępnej listy." sqref="X11:AF11" xr:uid="{00000000-0002-0000-0000-000000000000}">
      <formula1>INDIRECT(kod_produkt&amp;"_warianty")</formula1>
    </dataValidation>
    <dataValidation type="decimal" operator="greaterThan" allowBlank="1" showInputMessage="1" showErrorMessage="1" errorTitle="Podstawa wyliczania prowizji" error="Technicznie podstawa wyliczania prowizji musi być liczbą:_x000a_    - nieujemną,_x000a_    - mniejszą od maksymalnej dopuszczalnej kwoty gwarancji w PLN._x000a__x000a_Biznesowo kwota podlega dodatkowym walidacjom._x000a_" sqref="AD45:AH45" xr:uid="{00000000-0002-0000-0000-000001000000}">
      <formula1>0</formula1>
    </dataValidation>
    <dataValidation type="decimal" allowBlank="1" showInputMessage="1" showErrorMessage="1" errorTitle="Kurs euro" error="Kurs EUR musi być liczbą:_x000a_    - większą od zera,_x000a_    - mniejszą od dziesięciu._x000a_" sqref="X25:Z25" xr:uid="{00000000-0002-0000-0000-000002000000}">
      <formula1>0.0001</formula1>
      <formula2>9.9999</formula2>
    </dataValidation>
    <dataValidation type="decimal" allowBlank="1" showInputMessage="1" showErrorMessage="1" errorTitle="Dotychczas uzyskana pomoc w EUR" error="Technicznie dotychczas uzyskana pomoc w EUR musi być liczbą:_x000a_    - nieujemną,_x000a_    - mniejszą od maksymalnej dopuszczalnej._x000a__x000a_Biznesowo kwota podlega dodatkowym walidacjom._x000a_" sqref="X19:AA19" xr:uid="{00000000-0002-0000-0000-000003000000}">
      <formula1>0</formula1>
      <formula2>200000</formula2>
    </dataValidation>
    <dataValidation type="decimal" operator="greaterThan" allowBlank="1" showInputMessage="1" showErrorMessage="1" errorTitle="Kwota gwarancji w PLN" error="Kwota gwarancji w PLN musi być liczbą większą od zera._x000a__x000a_Biznesowo kwota podlega dodatkowym walidacjom._x000a_" sqref="X29:AB29" xr:uid="{00000000-0002-0000-0000-000004000000}">
      <formula1>0</formula1>
    </dataValidation>
    <dataValidation type="date" operator="greaterThanOrEqual" allowBlank="1" showInputMessage="1" showErrorMessage="1" errorTitle="Początek okresu ważności" error="Początek okresu ważności musi być datą większą od 2013-03-14._x000a_" sqref="X31:AA31 X23:AA23" xr:uid="{00000000-0002-0000-0000-000005000000}">
      <formula1>41348</formula1>
    </dataValidation>
    <dataValidation type="date" operator="greaterThan" allowBlank="1" showInputMessage="1" showErrorMessage="1" errorTitle="Koniec okresu ważności" error="Technicznie koniec okresu ważności musi być datą większą od 2013-03-15._x000a__x000a_Biznesowo data podlega dodatkowym walidacjom._x000a_" sqref="X33:AA33" xr:uid="{00000000-0002-0000-0000-000006000000}">
      <formula1>41348</formula1>
    </dataValidation>
    <dataValidation type="decimal" operator="greaterThan" allowBlank="1" showInputMessage="1" showErrorMessage="1" errorTitle="Nowa kwota gwarancji w PLN " error="Nowa kwota gwarancji w PLN musi być liczbą większą od zera._x000a__x000a_Biznesowo kwota podlega dodatkowym walidacjom._x000a_" sqref="X37:AB37" xr:uid="{00000000-0002-0000-0000-000007000000}">
      <formula1>0</formula1>
    </dataValidation>
    <dataValidation type="date" operator="greaterThan" allowBlank="1" showInputMessage="1" showErrorMessage="1" errorTitle="Data zmiany" error="Technicznie data zmiany musi być większa od 2013-03-15._x000a__x000a_Biznesowo data podlega dodatkowym walidacjom._x000a_" sqref="X39:AA39" xr:uid="{00000000-0002-0000-0000-000008000000}">
      <formula1>41348</formula1>
    </dataValidation>
    <dataValidation type="date" operator="greaterThan" allowBlank="1" showInputMessage="1" showErrorMessage="1" errorTitle="Nowy koniec okresu ważności" error="Technicznie nowy koniec okresu ważności musi być datą większą od 2013-03-15._x000a__x000a_Biznesowo data podlega dodatkowym walidacjom._x000a_" sqref="X41:AA41" xr:uid="{00000000-0002-0000-0000-000009000000}">
      <formula1>41348</formula1>
    </dataValidation>
    <dataValidation type="list" allowBlank="1" showErrorMessage="1" errorTitle="Wariant" error="Wybierz wariant z dostępnej listy." promptTitle="wariant" prompt="Wybierz wariant z dostępnej listy." sqref="X13:AF13" xr:uid="{00000000-0002-0000-0000-00000A000000}">
      <formula1>IF(AND(OR(kod_produkt="POIR",kod_produkt="POPC"),wariant&lt;&gt;1),INDIRECT(kod_produkt&amp;"_pomoc_2"),INDIRECT(kod_produkt&amp;"_pomoc"))</formula1>
    </dataValidation>
    <dataValidation type="list" allowBlank="1" showInputMessage="1" showErrorMessage="1" errorTitle="Sektor działania Wnioskodawcy" error="Wybierz typ kredytu z dostępnej listy." sqref="X17:AE17" xr:uid="{00000000-0002-0000-0000-00000B000000}">
      <formula1>INDIRECT(kod_produkt&amp;"_kredyt"&amp;IF(AND(OR(kod_produkt="POIR",kod_produkt="FENG"),nr_pomoc=3),"_RPI",IF(wariant=1,"_N","")))</formula1>
    </dataValidation>
    <dataValidation allowBlank="1" showInputMessage="1" showErrorMessage="1" prompt="Czy jest_x000a_pomoc" sqref="BO51" xr:uid="{00000000-0002-0000-0000-00000C000000}"/>
    <dataValidation allowBlank="1" showInputMessage="1" showErrorMessage="1" prompt="Czy jest_x000a_pomocy" sqref="BR51" xr:uid="{00000000-0002-0000-0000-00000D000000}"/>
    <dataValidation allowBlank="1" showInputMessage="1" showErrorMessage="1" prompt="Podstawa_x000a_prawna" sqref="BO49 BR49" xr:uid="{00000000-0002-0000-0000-00000E000000}"/>
    <dataValidation allowBlank="1" showInputMessage="1" showErrorMessage="1" prompt="Wybrana podstawa prawna" sqref="BR53" xr:uid="{00000000-0002-0000-0000-00000F000000}"/>
    <dataValidation type="decimal" operator="lessThanOrEqual" allowBlank="1" showInputMessage="1" showErrorMessage="1" errorTitle="Błąd" error="Kwota za pierwszy okres nie może być większa od kwoty gwarancji." sqref="AU29" xr:uid="{00000000-0002-0000-0000-000010000000}">
      <formula1>BM29</formula1>
    </dataValidation>
    <dataValidation type="decimal" operator="lessThanOrEqual" allowBlank="1" showInputMessage="1" showErrorMessage="1" errorTitle="Błąd" error="Kwota za drugi okres nie może być większa od kwoty gwarancji." sqref="AU31" xr:uid="{00000000-0002-0000-0000-000011000000}">
      <formula1>BM29</formula1>
    </dataValidation>
    <dataValidation type="decimal" operator="lessThanOrEqual" allowBlank="1" showInputMessage="1" showErrorMessage="1" errorTitle="Błąd" error="Kwota za trzeci okres nie może być większa od kwoty gwarancji." sqref="AU33" xr:uid="{00000000-0002-0000-0000-000012000000}">
      <formula1>BM29</formula1>
    </dataValidation>
  </dataValidations>
  <pageMargins left="1.299212598425197" right="0.70866141732283472" top="0.74803149606299213" bottom="0.74803149606299213" header="0.31496062992125984" footer="0.31496062992125984"/>
  <pageSetup paperSize="9" scale="97" orientation="landscape" blackAndWhite="1" r:id="rId1"/>
  <headerFooter>
    <oddFooter>&amp;LData wydruku: &amp;D, &amp;T&amp;RStrona &amp;P/&amp;N</oddFooter>
  </headerFooter>
  <ignoredErrors>
    <ignoredError sqref="BJ84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Wariant" error="Wybierz wariant z dostępnej listy." promptTitle="wariant" prompt="Wybierz wariant z dostępnej listy." xr:uid="{00000000-0002-0000-0000-000013000000}">
          <x14:formula1>
            <xm:f>Parametry!$N$10:$N$17</xm:f>
          </x14:formula1>
          <xm:sqref>X9:AF9</xm:sqref>
        </x14:dataValidation>
        <x14:dataValidation type="list" allowBlank="1" showInputMessage="1" showErrorMessage="1" errorTitle="Sektor działania Wnioskodawcy" error="Wybierz sektor działania Wnioskodawcy z dostępnej listy." xr:uid="{00000000-0002-0000-0000-000014000000}">
          <x14:formula1>
            <xm:f>IF(OR(nr_pomoc=1,nr_pomoc=5,nr_pomoc=6),typPomocy,Produkty!$D$6)</xm:f>
          </x14:formula1>
          <xm:sqref>X15:AE15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C000"/>
  </sheetPr>
  <dimension ref="A2:AQ49"/>
  <sheetViews>
    <sheetView zoomScaleNormal="100" workbookViewId="0">
      <selection activeCell="O23" sqref="O23"/>
    </sheetView>
  </sheetViews>
  <sheetFormatPr defaultColWidth="9.33203125" defaultRowHeight="14.25" customHeight="1" x14ac:dyDescent="0.15"/>
  <cols>
    <col min="1" max="1" width="3.1640625" style="65" customWidth="1"/>
    <col min="2" max="2" width="2.83203125" style="65" customWidth="1"/>
    <col min="3" max="3" width="1.83203125" style="68" customWidth="1"/>
    <col min="4" max="10" width="3.6640625" style="68" customWidth="1"/>
    <col min="11" max="11" width="0.5" style="68" customWidth="1"/>
    <col min="12" max="34" width="3.6640625" style="68" customWidth="1"/>
    <col min="35" max="35" width="1.83203125" style="68" customWidth="1"/>
    <col min="36" max="40" width="3.33203125" style="68" customWidth="1"/>
    <col min="41" max="16384" width="9.33203125" style="68"/>
  </cols>
  <sheetData>
    <row r="2" spans="2:36" ht="30.75" customHeight="1" x14ac:dyDescent="0.15">
      <c r="B2" s="141"/>
      <c r="C2" s="137"/>
      <c r="D2" s="138"/>
      <c r="E2" s="137"/>
      <c r="F2" s="137"/>
      <c r="G2" s="137"/>
      <c r="H2" s="137"/>
      <c r="I2" s="137"/>
      <c r="J2" s="137"/>
      <c r="K2" s="137"/>
      <c r="L2" s="137"/>
      <c r="M2" s="206" t="str">
        <f ca="1">"Analiza wyliczenia prowizji" &amp; IF(error=0," na dzień","               ")</f>
        <v xml:space="preserve">Analiza wyliczenia prowizji               </v>
      </c>
      <c r="N2" s="624" t="str">
        <f ca="1">IF(error=0,repDate,"")</f>
        <v/>
      </c>
      <c r="O2" s="624"/>
      <c r="P2" s="624"/>
      <c r="Q2" s="624"/>
      <c r="R2" s="139" t="str">
        <f ca="1">IF(error&gt;0, IF(Kalkulator!BV11=1,"Wprowadź dane do kalkulatora","Kalkulator zawiera błędy."),"")</f>
        <v>Kalkulator zawiera błędy.</v>
      </c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207" t="str">
        <f>"Kalkulator (v." &amp; calcVer &amp;  ")"</f>
        <v>Kalkulator (v.1.0.30ß)</v>
      </c>
      <c r="AI2" s="137"/>
      <c r="AJ2" s="140"/>
    </row>
    <row r="3" spans="2:36" ht="1.5" customHeight="1" x14ac:dyDescent="0.15">
      <c r="B3" s="136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  <c r="AF3" s="627"/>
      <c r="AG3" s="627"/>
      <c r="AH3" s="627"/>
      <c r="AI3" s="627"/>
      <c r="AJ3" s="135"/>
    </row>
    <row r="4" spans="2:36" ht="8.25" customHeight="1" x14ac:dyDescent="0.15">
      <c r="B4" s="62"/>
      <c r="C4" s="4"/>
      <c r="D4" s="4"/>
      <c r="E4" s="4"/>
      <c r="F4" s="4"/>
      <c r="G4" s="4"/>
      <c r="H4" s="4"/>
      <c r="I4" s="4"/>
      <c r="J4" s="26"/>
      <c r="K4" s="26"/>
      <c r="L4" s="26"/>
      <c r="M4" s="628"/>
      <c r="N4" s="628"/>
      <c r="O4" s="628"/>
      <c r="P4" s="628"/>
      <c r="Q4" s="30"/>
      <c r="R4" s="26"/>
      <c r="S4" s="26"/>
      <c r="T4" s="26"/>
      <c r="U4" s="26"/>
      <c r="V4" s="26"/>
      <c r="W4" s="26"/>
      <c r="X4" s="26"/>
      <c r="Y4" s="4"/>
      <c r="Z4" s="4"/>
      <c r="AA4" s="4"/>
      <c r="AB4" s="4"/>
      <c r="AC4" s="4"/>
      <c r="AD4" s="4"/>
      <c r="AE4" s="4"/>
      <c r="AF4" s="4"/>
      <c r="AG4" s="26"/>
      <c r="AH4" s="4"/>
      <c r="AI4" s="4"/>
      <c r="AJ4" s="67"/>
    </row>
    <row r="5" spans="2:36" ht="21.75" customHeight="1" x14ac:dyDescent="0.15">
      <c r="B5" s="63"/>
      <c r="C5" s="79"/>
      <c r="D5" s="79"/>
      <c r="E5" s="79"/>
      <c r="F5" s="79"/>
      <c r="G5" s="79"/>
      <c r="H5" s="80" t="s">
        <v>132</v>
      </c>
      <c r="I5" s="629" t="str">
        <f ca="1">IF(error=0,Kalkulator!X11,"")</f>
        <v/>
      </c>
      <c r="J5" s="629"/>
      <c r="K5" s="629"/>
      <c r="L5" s="629"/>
      <c r="M5" s="629"/>
      <c r="N5" s="629"/>
      <c r="O5" s="629"/>
      <c r="P5" s="629"/>
      <c r="Q5" s="629"/>
      <c r="R5" s="629"/>
      <c r="S5" s="79"/>
      <c r="T5" s="79"/>
      <c r="U5" s="79"/>
      <c r="V5" s="80" t="str">
        <f ca="1">IF(AND(error=0,chgDateInp&lt;&gt;""),"data zmiany:","")</f>
        <v/>
      </c>
      <c r="W5" s="630" t="str">
        <f ca="1">IF(AND(error=0,chgDateInp&lt;&gt;""),chgDateInp,"")</f>
        <v/>
      </c>
      <c r="X5" s="630"/>
      <c r="Y5" s="630"/>
      <c r="Z5" s="630"/>
      <c r="AA5" s="79"/>
      <c r="AB5" s="79"/>
      <c r="AC5" s="79"/>
      <c r="AD5" s="79"/>
      <c r="AE5" s="80" t="s">
        <v>177</v>
      </c>
      <c r="AF5" s="631" t="str">
        <f ca="1">IF(error=0,TODAY(),"")</f>
        <v/>
      </c>
      <c r="AG5" s="631"/>
      <c r="AH5" s="631"/>
      <c r="AI5" s="81"/>
      <c r="AJ5" s="75"/>
    </row>
    <row r="6" spans="2:36" ht="8.25" customHeight="1" x14ac:dyDescent="0.15">
      <c r="B6" s="62"/>
      <c r="C6" s="4"/>
      <c r="D6" s="26"/>
      <c r="E6" s="4"/>
      <c r="F6" s="4"/>
      <c r="G6" s="4"/>
      <c r="H6" s="4"/>
      <c r="I6" s="4"/>
      <c r="J6" s="4"/>
      <c r="K6" s="4"/>
      <c r="L6" s="26"/>
      <c r="M6" s="2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67"/>
    </row>
    <row r="7" spans="2:36" ht="17.25" customHeight="1" x14ac:dyDescent="0.15">
      <c r="B7" s="62"/>
      <c r="C7" s="4"/>
      <c r="D7" s="611" t="s">
        <v>272</v>
      </c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 t="s">
        <v>276</v>
      </c>
      <c r="P7" s="611"/>
      <c r="Q7" s="611"/>
      <c r="R7" s="611"/>
      <c r="S7" s="611"/>
      <c r="T7" s="611"/>
      <c r="U7" s="611"/>
      <c r="V7" s="61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67"/>
    </row>
    <row r="8" spans="2:36" ht="14.25" customHeight="1" x14ac:dyDescent="0.15">
      <c r="B8" s="62"/>
      <c r="C8" s="4"/>
      <c r="D8" s="614" t="s">
        <v>370</v>
      </c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35" t="str">
        <f ca="1">IF(error=0,Kalkulator!X9,"")</f>
        <v/>
      </c>
      <c r="P8" s="635"/>
      <c r="Q8" s="635"/>
      <c r="R8" s="635"/>
      <c r="S8" s="635"/>
      <c r="T8" s="635"/>
      <c r="U8" s="635"/>
      <c r="V8" s="63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67"/>
    </row>
    <row r="9" spans="2:36" ht="14.25" customHeight="1" x14ac:dyDescent="0.15">
      <c r="B9" s="62"/>
      <c r="C9" s="4"/>
      <c r="D9" s="614" t="s">
        <v>274</v>
      </c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35" t="str">
        <f ca="1">IF(AND(error=0,Kalkulator!X15&lt;&gt;""),Kalkulator!X15,"")</f>
        <v/>
      </c>
      <c r="P9" s="635"/>
      <c r="Q9" s="635"/>
      <c r="R9" s="635"/>
      <c r="S9" s="635"/>
      <c r="T9" s="635"/>
      <c r="U9" s="635"/>
      <c r="V9" s="635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67"/>
    </row>
    <row r="10" spans="2:36" ht="14.25" customHeight="1" x14ac:dyDescent="0.15">
      <c r="B10" s="62"/>
      <c r="C10" s="4"/>
      <c r="D10" s="614" t="s">
        <v>275</v>
      </c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35" t="str">
        <f ca="1">IF(AND(error=0,kod_produkt&lt;&gt;"LGL"),typKredytuOpis,"")</f>
        <v/>
      </c>
      <c r="P10" s="635"/>
      <c r="Q10" s="635"/>
      <c r="R10" s="635"/>
      <c r="S10" s="635"/>
      <c r="T10" s="635"/>
      <c r="U10" s="635"/>
      <c r="V10" s="635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67"/>
    </row>
    <row r="11" spans="2:36" ht="14.25" customHeight="1" x14ac:dyDescent="0.15">
      <c r="B11" s="62"/>
      <c r="C11" s="4"/>
      <c r="D11" s="614" t="s">
        <v>174</v>
      </c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36" t="str">
        <f ca="1">IF(error=0,actStart,"")</f>
        <v/>
      </c>
      <c r="P11" s="636"/>
      <c r="Q11" s="636"/>
      <c r="R11" s="636"/>
      <c r="S11" s="636"/>
      <c r="T11" s="636"/>
      <c r="U11" s="636"/>
      <c r="V11" s="636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67"/>
    </row>
    <row r="12" spans="2:36" ht="8.25" customHeight="1" x14ac:dyDescent="0.15">
      <c r="B12" s="62"/>
      <c r="C12" s="4"/>
      <c r="D12" s="26"/>
      <c r="E12" s="4"/>
      <c r="F12" s="4"/>
      <c r="G12" s="4"/>
      <c r="H12" s="4"/>
      <c r="I12" s="4"/>
      <c r="J12" s="4"/>
      <c r="K12" s="4"/>
      <c r="L12" s="26"/>
      <c r="M12" s="27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67"/>
    </row>
    <row r="13" spans="2:36" ht="17.25" customHeight="1" x14ac:dyDescent="0.15">
      <c r="B13" s="62"/>
      <c r="C13" s="4"/>
      <c r="D13" s="611" t="s">
        <v>273</v>
      </c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 t="str">
        <f ca="1">IF(OR(wariant&lt;2,error&gt;0)," wartość"," przed zmianą")</f>
        <v xml:space="preserve"> wartość</v>
      </c>
      <c r="P13" s="611"/>
      <c r="Q13" s="611"/>
      <c r="R13" s="611"/>
      <c r="S13" s="612" t="str">
        <f ca="1">IF(OR(error&gt;0,wariant&lt;2),""," po zmianie")</f>
        <v/>
      </c>
      <c r="T13" s="613"/>
      <c r="U13" s="613"/>
      <c r="V13" s="613"/>
      <c r="W13" s="610" t="str">
        <f ca="1">IF(OR(error&gt;0,wariant&lt;2),""," uwagi")</f>
        <v/>
      </c>
      <c r="X13" s="610"/>
      <c r="Y13" s="610"/>
      <c r="Z13" s="610"/>
      <c r="AA13" s="610"/>
      <c r="AB13" s="610"/>
      <c r="AC13" s="610"/>
      <c r="AD13" s="610"/>
      <c r="AE13" s="610"/>
      <c r="AF13" s="610"/>
      <c r="AG13" s="610"/>
      <c r="AH13" s="610"/>
      <c r="AI13" s="4"/>
      <c r="AJ13" s="67"/>
    </row>
    <row r="14" spans="2:36" ht="14.25" customHeight="1" x14ac:dyDescent="0.15">
      <c r="B14" s="62"/>
      <c r="C14" s="4"/>
      <c r="D14" s="614" t="s">
        <v>175</v>
      </c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26" t="str">
        <f ca="1">IF(error=0,actEnd,"")</f>
        <v/>
      </c>
      <c r="P14" s="626"/>
      <c r="Q14" s="626"/>
      <c r="R14" s="626"/>
      <c r="S14" s="615" t="str">
        <f ca="1">IF(OR(error&gt;0,wariant&lt;2),"",IF(AND(error=0,newEnd&lt;&gt;""),newEnd,actEnd))</f>
        <v/>
      </c>
      <c r="T14" s="615"/>
      <c r="U14" s="615"/>
      <c r="V14" s="615"/>
      <c r="W14" s="616" t="str">
        <f ca="1">IF(error&gt;0,"", IF(Kalkulator!BB41=0,"",IF(O14&gt;S14,"skrócenie","przedłużenie")))</f>
        <v/>
      </c>
      <c r="X14" s="616"/>
      <c r="Y14" s="616"/>
      <c r="Z14" s="616"/>
      <c r="AA14" s="616"/>
      <c r="AB14" s="616"/>
      <c r="AC14" s="616"/>
      <c r="AD14" s="616"/>
      <c r="AE14" s="616"/>
      <c r="AF14" s="616"/>
      <c r="AG14" s="616"/>
      <c r="AH14" s="616"/>
      <c r="AI14" s="4"/>
      <c r="AJ14" s="67"/>
    </row>
    <row r="15" spans="2:36" ht="14.25" customHeight="1" x14ac:dyDescent="0.15">
      <c r="B15" s="62"/>
      <c r="C15" s="4"/>
      <c r="D15" s="614" t="s">
        <v>178</v>
      </c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26" t="str">
        <f ca="1">IF(error=0,realActEnd,"")</f>
        <v/>
      </c>
      <c r="P15" s="626"/>
      <c r="Q15" s="626"/>
      <c r="R15" s="626"/>
      <c r="S15" s="615" t="str">
        <f ca="1">IF(OR(error&gt;0,wariant&lt;2),"",IF(AND(error=0,newEnd&lt;&gt;""),realNewEnd,realActEnd))</f>
        <v/>
      </c>
      <c r="T15" s="615"/>
      <c r="U15" s="615"/>
      <c r="V15" s="615"/>
      <c r="W15" s="616" t="str">
        <f ca="1">IF(error&gt;0,"",IF(Kalkulator!BB41=0,"",IF(AND(O15=S15,O14&lt;&gt;S14), W14&amp;" nie wpływa na wysokość prowizji","")))</f>
        <v/>
      </c>
      <c r="X15" s="616"/>
      <c r="Y15" s="616"/>
      <c r="Z15" s="616"/>
      <c r="AA15" s="616"/>
      <c r="AB15" s="616"/>
      <c r="AC15" s="616"/>
      <c r="AD15" s="616"/>
      <c r="AE15" s="616"/>
      <c r="AF15" s="616"/>
      <c r="AG15" s="616"/>
      <c r="AH15" s="616"/>
      <c r="AI15" s="4"/>
      <c r="AJ15" s="67"/>
    </row>
    <row r="16" spans="2:36" ht="15" customHeight="1" x14ac:dyDescent="0.15">
      <c r="B16" s="62"/>
      <c r="C16" s="4"/>
      <c r="D16" s="614" t="s">
        <v>176</v>
      </c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25" t="str">
        <f ca="1">IF(error=0,actGuar,"")</f>
        <v/>
      </c>
      <c r="P16" s="625"/>
      <c r="Q16" s="625"/>
      <c r="R16" s="625"/>
      <c r="S16" s="619" t="str">
        <f ca="1">IF(OR(error&gt;0,wariant&lt;2),"",IF(AND(error=0,newGuar&lt;&gt;""),newGuar,actGuar))</f>
        <v/>
      </c>
      <c r="T16" s="619"/>
      <c r="U16" s="619"/>
      <c r="V16" s="619"/>
      <c r="W16" s="616" t="str">
        <f ca="1">IF(error&gt;0,"",IF(Kalkulator!BB37=0,"",IF(O16&gt;S16,"obniżenie","podwyższenie")))</f>
        <v/>
      </c>
      <c r="X16" s="616"/>
      <c r="Y16" s="616"/>
      <c r="Z16" s="616"/>
      <c r="AA16" s="616"/>
      <c r="AB16" s="616"/>
      <c r="AC16" s="616"/>
      <c r="AD16" s="616"/>
      <c r="AE16" s="616"/>
      <c r="AF16" s="616"/>
      <c r="AG16" s="616"/>
      <c r="AH16" s="616"/>
      <c r="AI16" s="4"/>
      <c r="AJ16" s="67"/>
    </row>
    <row r="17" spans="1:43" ht="8.25" customHeight="1" x14ac:dyDescent="0.15">
      <c r="B17" s="62"/>
      <c r="C17" s="4"/>
      <c r="D17" s="26"/>
      <c r="E17" s="4"/>
      <c r="F17" s="4"/>
      <c r="G17" s="4"/>
      <c r="H17" s="4"/>
      <c r="I17" s="4"/>
      <c r="J17" s="4"/>
      <c r="K17" s="4"/>
      <c r="L17" s="26"/>
      <c r="M17" s="2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67"/>
    </row>
    <row r="18" spans="1:43" ht="14.25" customHeight="1" x14ac:dyDescent="0.15">
      <c r="B18" s="62"/>
      <c r="C18" s="4"/>
      <c r="D18" s="633" t="s">
        <v>181</v>
      </c>
      <c r="E18" s="633"/>
      <c r="F18" s="633"/>
      <c r="G18" s="633"/>
      <c r="H18" s="633"/>
      <c r="I18" s="633"/>
      <c r="J18" s="633"/>
      <c r="K18" s="634" t="str">
        <f ca="1">IF(error=0,actAmtInp,"")</f>
        <v/>
      </c>
      <c r="L18" s="634"/>
      <c r="M18" s="634"/>
      <c r="N18" s="634"/>
      <c r="O18" s="205" t="str">
        <f ca="1">IF(OR(error&gt;0,K18=0), "","na dzień "&amp; ppStartText&amp;" r.")</f>
        <v/>
      </c>
      <c r="P18" s="204"/>
      <c r="Q18" s="204"/>
      <c r="R18" s="66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67"/>
    </row>
    <row r="19" spans="1:43" ht="7.5" customHeight="1" x14ac:dyDescent="0.15">
      <c r="B19" s="6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67"/>
    </row>
    <row r="20" spans="1:43" ht="27.75" customHeight="1" x14ac:dyDescent="0.15">
      <c r="B20" s="63"/>
      <c r="C20" s="79"/>
      <c r="D20" s="90" t="s">
        <v>179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5"/>
    </row>
    <row r="21" spans="1:43" ht="8.25" customHeight="1" x14ac:dyDescent="0.15">
      <c r="B21" s="62"/>
      <c r="C21" s="621"/>
      <c r="D21" s="621"/>
      <c r="E21" s="621"/>
      <c r="F21" s="621"/>
      <c r="G21" s="621"/>
      <c r="H21" s="621"/>
      <c r="I21" s="621"/>
      <c r="J21" s="62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43" ht="14.25" customHeight="1" x14ac:dyDescent="0.15">
      <c r="B22" s="62"/>
      <c r="C22" s="632" t="s">
        <v>110</v>
      </c>
      <c r="D22" s="632"/>
      <c r="E22" s="632"/>
      <c r="F22" s="632"/>
      <c r="G22" s="632"/>
      <c r="H22" s="632"/>
      <c r="I22" s="632"/>
      <c r="J22" s="632"/>
      <c r="K22" s="66"/>
      <c r="L22" s="87" t="str">
        <f ca="1">IF(error=0,IF(rocznica=1,"tak","nie"),"")</f>
        <v/>
      </c>
      <c r="M22" s="66"/>
      <c r="N22" s="66"/>
      <c r="O22" s="66"/>
      <c r="P22" s="88" t="str">
        <f ca="1">IF(error&gt;0,
             "",
             IF(Kalkulator!BE45=1,"nie podano podstawy naliczania prowizji",
                        IF(L22="nie",
                                   IF(ppStart=ppEnd,
                                               "gwarancja nie ma następnego okresu rocznicowego",
                                               IF(AND(MONTH(actStart)=MONTH(repDate),YEAR(actStart)=YEAR(repDate)),"prowizja rocznicowa została naliczona przy udzieleniu","miesiącem rocznicy jest "&amp;TEXT(actStart,"mmmm")&amp;", a miesiącem naliczania prowizji jest "&amp;TEXT(repDate,"mmmm"))),
                        IF(wariant&lt;2,
                                    "w tym wariancie wyliczana jest tylko prowizja rocznicowa",
                                    IF(chgDate&gt;ppStart,
                                                "zmiana po rocznicy – prowizja rocznicowa naliczana od parametrów przed zmianą",
                                                "zmiana "&amp;IF(chgDate=ppStart,"w rocznicę","przed rocznicą")&amp;" – prowizja rocznicowa naliczana od parametrów po zmianie")))))</f>
        <v/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7"/>
    </row>
    <row r="23" spans="1:43" ht="14.25" customHeight="1" x14ac:dyDescent="0.15">
      <c r="B23" s="62"/>
      <c r="C23" s="632" t="s">
        <v>138</v>
      </c>
      <c r="D23" s="632"/>
      <c r="E23" s="632"/>
      <c r="F23" s="632"/>
      <c r="G23" s="632"/>
      <c r="H23" s="632"/>
      <c r="I23" s="632"/>
      <c r="J23" s="632"/>
      <c r="K23" s="25"/>
      <c r="L23" s="620" t="str">
        <f ca="1">IF(OR(error&gt;0, ppStart=ppEnd),"",IF(wariant=8,Kalkulator!X31,ppStart))</f>
        <v/>
      </c>
      <c r="M23" s="620"/>
      <c r="N23" s="620"/>
      <c r="O23" s="25" t="str">
        <f ca="1">IF(P23&lt;&gt;"","do: ","")</f>
        <v/>
      </c>
      <c r="P23" s="620" t="str">
        <f ca="1">IF(OR(error&gt;0, ppStart=ppEnd),"", MIN(Kalkulator!BV57,IF(AND(OR(repDate&lt;=ppStart,AND(repDate&gt;ppStart,rocznica=0)),newEnd&lt;&gt;""),newEnd,actEnd)))</f>
        <v/>
      </c>
      <c r="Q23" s="620"/>
      <c r="R23" s="620"/>
      <c r="S23" s="30" t="str">
        <f ca="1">IF(error&gt;0,"",IF(ppEnd&gt;MIN(Kalkulator!BV57,IF(repDate&lt;=ppStart,IF(newEnd&lt;&gt;"",realNewEnd,realActEnd),realActEnd)),"bieżący okres rocznicowy zostanie przedłużony",""))</f>
        <v/>
      </c>
      <c r="T23" s="29"/>
      <c r="U23" s="29"/>
      <c r="V23" s="29"/>
      <c r="W23" s="29"/>
      <c r="X23" s="29"/>
      <c r="Y23" s="4"/>
      <c r="Z23" s="4"/>
      <c r="AA23" s="4"/>
      <c r="AB23" s="4"/>
      <c r="AC23" s="4"/>
      <c r="AD23" s="4"/>
      <c r="AE23" s="4"/>
      <c r="AF23" s="26"/>
      <c r="AG23" s="26"/>
      <c r="AH23" s="26"/>
      <c r="AI23" s="4"/>
      <c r="AJ23" s="67"/>
    </row>
    <row r="24" spans="1:43" ht="14.25" customHeight="1" x14ac:dyDescent="0.15">
      <c r="B24" s="62"/>
      <c r="C24" s="632" t="s">
        <v>37</v>
      </c>
      <c r="D24" s="632"/>
      <c r="E24" s="632"/>
      <c r="F24" s="632"/>
      <c r="G24" s="632"/>
      <c r="H24" s="632"/>
      <c r="I24" s="632"/>
      <c r="J24" s="632"/>
      <c r="K24" s="25"/>
      <c r="L24" s="31" t="str">
        <f ca="1">IF(AND(error=0,L22&lt;&gt;"nie"),SUM(Kalkulator!BD80:BD86),"")</f>
        <v/>
      </c>
      <c r="M24" s="29"/>
      <c r="N24" s="29"/>
      <c r="O24" s="29"/>
      <c r="P24" s="26"/>
      <c r="Q24" s="26"/>
      <c r="R24" s="26"/>
      <c r="S24" s="26"/>
      <c r="T24" s="26"/>
      <c r="U24" s="29"/>
      <c r="V24" s="26"/>
      <c r="W24" s="32"/>
      <c r="X24" s="29"/>
      <c r="Y24" s="4"/>
      <c r="Z24" s="4"/>
      <c r="AA24" s="4"/>
      <c r="AB24" s="4"/>
      <c r="AC24" s="4"/>
      <c r="AD24" s="4"/>
      <c r="AE24" s="29"/>
      <c r="AF24" s="29"/>
      <c r="AG24" s="29"/>
      <c r="AH24" s="29"/>
      <c r="AI24" s="4"/>
      <c r="AJ24" s="67"/>
    </row>
    <row r="25" spans="1:43" ht="14.25" customHeight="1" x14ac:dyDescent="0.15">
      <c r="B25" s="62"/>
      <c r="C25" s="632" t="s">
        <v>137</v>
      </c>
      <c r="D25" s="632"/>
      <c r="E25" s="632"/>
      <c r="F25" s="632"/>
      <c r="G25" s="632"/>
      <c r="H25" s="632"/>
      <c r="I25" s="632"/>
      <c r="J25" s="632"/>
      <c r="K25" s="25"/>
      <c r="L25" s="618" t="str">
        <f ca="1">IF(AND(error=0,L22&lt;&gt;"nie"),SUM(Kalkulator!BG80:BI86),"")</f>
        <v/>
      </c>
      <c r="M25" s="618"/>
      <c r="N25" s="618"/>
      <c r="O25" s="618"/>
      <c r="P25" s="30" t="str">
        <f ca="1">IF(AND(error=0,L22&lt;&gt;"nie"),IF(L25=$K$18,"podstawa obliczania prowizji na dzień "&amp; ppStartText&amp;" r.","kwota gwarancji "&amp;IF(L25=$S$16,"po zmianie",IF(wariant&gt;1,"przed zmianą",""))),"")</f>
        <v/>
      </c>
      <c r="Q25" s="29"/>
      <c r="R25" s="29"/>
      <c r="S25" s="29"/>
      <c r="T25" s="26"/>
      <c r="U25" s="29"/>
      <c r="V25" s="29"/>
      <c r="W25" s="29"/>
      <c r="X25" s="29"/>
      <c r="Y25" s="4"/>
      <c r="Z25" s="4"/>
      <c r="AA25" s="4"/>
      <c r="AB25" s="4"/>
      <c r="AC25" s="26"/>
      <c r="AD25" s="29"/>
      <c r="AE25" s="29"/>
      <c r="AF25" s="26"/>
      <c r="AG25" s="32"/>
      <c r="AH25" s="4"/>
      <c r="AI25" s="4"/>
      <c r="AJ25" s="67"/>
    </row>
    <row r="26" spans="1:43" ht="14.25" customHeight="1" x14ac:dyDescent="0.15">
      <c r="B26" s="62"/>
      <c r="C26" s="632" t="s">
        <v>94</v>
      </c>
      <c r="D26" s="632"/>
      <c r="E26" s="632"/>
      <c r="F26" s="632"/>
      <c r="G26" s="632"/>
      <c r="H26" s="632"/>
      <c r="I26" s="632"/>
      <c r="J26" s="632"/>
      <c r="K26" s="25"/>
      <c r="L26" s="618" t="str">
        <f ca="1">IF(AND(error=0,L22&lt;&gt;"nie"),SUM(Kalkulator!BP80:BR86),"")</f>
        <v/>
      </c>
      <c r="M26" s="618"/>
      <c r="N26" s="618"/>
      <c r="O26" s="618"/>
      <c r="P26" s="30" t="str">
        <f ca="1">IF(AND(error=0,L22&lt;&gt;"nie"),TEXT(L25,"0,0#")&amp;" × "&amp;L24&amp;"/12 × "&amp;TEXT(prowizja,"0,0#%")&amp;" = "&amp;TEXT(L26,"0,0#"),"")</f>
        <v/>
      </c>
      <c r="Q26" s="30"/>
      <c r="R26" s="30"/>
      <c r="S26" s="30"/>
      <c r="T26" s="30"/>
      <c r="U26" s="30"/>
      <c r="V26" s="29"/>
      <c r="W26" s="29"/>
      <c r="X26" s="29"/>
      <c r="Y26" s="4"/>
      <c r="Z26" s="4"/>
      <c r="AA26" s="4"/>
      <c r="AB26" s="4"/>
      <c r="AC26" s="26"/>
      <c r="AD26" s="29"/>
      <c r="AE26" s="29"/>
      <c r="AF26" s="26"/>
      <c r="AG26" s="32"/>
      <c r="AH26" s="4"/>
      <c r="AI26" s="4"/>
      <c r="AJ26" s="67"/>
    </row>
    <row r="27" spans="1:43" ht="5.25" customHeight="1" x14ac:dyDescent="0.15">
      <c r="B27" s="62"/>
      <c r="C27" s="621"/>
      <c r="D27" s="621"/>
      <c r="E27" s="621"/>
      <c r="F27" s="621"/>
      <c r="G27" s="621"/>
      <c r="H27" s="621"/>
      <c r="I27" s="621"/>
      <c r="J27" s="621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67"/>
    </row>
    <row r="28" spans="1:43" ht="3.75" customHeight="1" x14ac:dyDescent="0.15">
      <c r="B28" s="63"/>
      <c r="C28" s="623"/>
      <c r="D28" s="623"/>
      <c r="E28" s="623"/>
      <c r="F28" s="623"/>
      <c r="G28" s="623"/>
      <c r="H28" s="623"/>
      <c r="I28" s="623"/>
      <c r="J28" s="623"/>
      <c r="K28" s="69"/>
      <c r="L28" s="70"/>
      <c r="M28" s="70"/>
      <c r="N28" s="70"/>
      <c r="O28" s="70"/>
      <c r="P28" s="71"/>
      <c r="Q28" s="71"/>
      <c r="R28" s="71"/>
      <c r="S28" s="71"/>
      <c r="T28" s="71"/>
      <c r="U28" s="71"/>
      <c r="V28" s="72"/>
      <c r="W28" s="72"/>
      <c r="X28" s="72"/>
      <c r="Y28" s="69"/>
      <c r="Z28" s="69"/>
      <c r="AA28" s="69"/>
      <c r="AB28" s="69"/>
      <c r="AC28" s="73"/>
      <c r="AD28" s="72"/>
      <c r="AE28" s="72"/>
      <c r="AF28" s="73"/>
      <c r="AG28" s="74"/>
      <c r="AH28" s="69"/>
      <c r="AI28" s="69"/>
      <c r="AJ28" s="75"/>
    </row>
    <row r="29" spans="1:43" ht="5.25" customHeight="1" x14ac:dyDescent="0.15">
      <c r="B29" s="62"/>
      <c r="C29" s="621"/>
      <c r="D29" s="621"/>
      <c r="E29" s="621"/>
      <c r="F29" s="621"/>
      <c r="G29" s="621"/>
      <c r="H29" s="621"/>
      <c r="I29" s="621"/>
      <c r="J29" s="62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67"/>
    </row>
    <row r="30" spans="1:43" ht="14.25" customHeight="1" x14ac:dyDescent="0.15">
      <c r="B30" s="62"/>
      <c r="C30" s="632" t="s">
        <v>134</v>
      </c>
      <c r="D30" s="632"/>
      <c r="E30" s="632"/>
      <c r="F30" s="632"/>
      <c r="G30" s="632"/>
      <c r="H30" s="632"/>
      <c r="I30" s="632"/>
      <c r="J30" s="632"/>
      <c r="K30" s="25"/>
      <c r="L30" s="27" t="str">
        <f ca="1">W14</f>
        <v/>
      </c>
      <c r="M30" s="4"/>
      <c r="N30" s="4"/>
      <c r="O30" s="30"/>
      <c r="P30" s="36" t="str">
        <f ca="1">IF(L30="skrócenie","prowizja od skrócenia nie jest naliczana",IF(AND(error=0,L30="przedłużenie",L35=0,L34&gt;0),"prowizja od przedłużenia w całości zawarta w prowizji rocznicowej",""))</f>
        <v/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7"/>
    </row>
    <row r="31" spans="1:43" ht="14.25" hidden="1" customHeight="1" x14ac:dyDescent="0.15">
      <c r="A31" s="78"/>
      <c r="B31" s="62"/>
      <c r="C31" s="4"/>
      <c r="D31" s="4"/>
      <c r="E31" s="4"/>
      <c r="F31" s="4"/>
      <c r="G31" s="4"/>
      <c r="H31" s="4"/>
      <c r="I31" s="4"/>
      <c r="J31" s="25" t="s">
        <v>135</v>
      </c>
      <c r="K31" s="25"/>
      <c r="L31" s="620" t="str">
        <f ca="1">IF(AND(error=0,L30="przedłużenie"),actEnd,"")</f>
        <v/>
      </c>
      <c r="M31" s="620"/>
      <c r="N31" s="620"/>
      <c r="O31" s="25" t="s">
        <v>136</v>
      </c>
      <c r="P31" s="620" t="str">
        <f ca="1">IF(AND(error=0,L30="przedłużenie"),newEnd,"")</f>
        <v/>
      </c>
      <c r="Q31" s="620"/>
      <c r="R31" s="620"/>
      <c r="S31" s="30" t="str">
        <f ca="1">IF(OR(L31&lt;&gt;L32,P31&lt;&gt;P32),"daty należy wyrównać do granicznych (zachodzenie miesięcy)","")</f>
        <v/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67"/>
      <c r="AK31" s="77"/>
      <c r="AL31" s="77"/>
      <c r="AM31" s="77"/>
      <c r="AN31" s="77"/>
      <c r="AO31" s="77"/>
      <c r="AP31" s="77"/>
      <c r="AQ31" s="77"/>
    </row>
    <row r="32" spans="1:43" ht="14.25" customHeight="1" x14ac:dyDescent="0.15">
      <c r="B32" s="62"/>
      <c r="C32" s="632" t="s">
        <v>173</v>
      </c>
      <c r="D32" s="632"/>
      <c r="E32" s="632"/>
      <c r="F32" s="632"/>
      <c r="G32" s="632"/>
      <c r="H32" s="632"/>
      <c r="I32" s="632"/>
      <c r="J32" s="632"/>
      <c r="K32" s="25"/>
      <c r="L32" s="620" t="str">
        <f ca="1">IF(AND(error=0,L30="przedłużenie",L34=0),realActEnd,"")</f>
        <v/>
      </c>
      <c r="M32" s="620"/>
      <c r="N32" s="620"/>
      <c r="O32" s="25" t="str">
        <f ca="1">IF(P32&lt;&gt;"","do: ","")</f>
        <v/>
      </c>
      <c r="P32" s="620" t="str">
        <f ca="1">IF(AND(error=0,L30="przedłużenie",L34=0),IF(L32&gt;=ppEnd,realNewEnd,ppEnd),"")</f>
        <v/>
      </c>
      <c r="Q32" s="620"/>
      <c r="R32" s="620"/>
      <c r="S32" s="30" t="str">
        <f ca="1">IF(OR(error&gt;0,L30&lt;&gt;"przedłużenie",L34&gt;0),
              "",
              IF(L32=P32,
                        W14&amp;" nie wpływa na wysokość prowizji",
                        IF(L32&gt;=ppEnd,
                                    "przedłużenie w całości w przyszłym okresie rocznicowym",
                                     IF(AND(L31&lt;ppEnd,newEnd&gt;ppEnd),
                                                "prowizja od przedłużenia tylko do końca okresu rocznicowego",
                                                ""))))</f>
        <v/>
      </c>
      <c r="T32" s="28"/>
      <c r="U32" s="30"/>
      <c r="V32" s="4"/>
      <c r="W32" s="4"/>
      <c r="X32" s="4"/>
      <c r="Y32" s="4"/>
      <c r="Z32" s="4"/>
      <c r="AA32" s="4"/>
      <c r="AB32" s="4"/>
      <c r="AC32" s="4"/>
      <c r="AD32" s="4"/>
      <c r="AE32" s="29"/>
      <c r="AF32" s="4"/>
      <c r="AG32" s="4"/>
      <c r="AH32" s="4"/>
      <c r="AI32" s="4"/>
      <c r="AJ32" s="67"/>
    </row>
    <row r="33" spans="1:43" ht="14.25" hidden="1" customHeight="1" x14ac:dyDescent="0.15">
      <c r="A33" s="78"/>
      <c r="B33" s="62"/>
      <c r="C33" s="4"/>
      <c r="D33" s="4"/>
      <c r="E33" s="4"/>
      <c r="F33" s="4"/>
      <c r="G33" s="4"/>
      <c r="H33" s="4"/>
      <c r="I33" s="4"/>
      <c r="J33" s="25" t="s">
        <v>37</v>
      </c>
      <c r="K33" s="25"/>
      <c r="L33" s="31" t="str">
        <f ca="1">IF(AND(error=0,L30="przedłużenie"),IF(realActEndNo&lt;ppEndNo,ppEndNo-realActEndNo,0),"")</f>
        <v/>
      </c>
      <c r="M33" s="29"/>
      <c r="N33" s="4"/>
      <c r="O33" s="26"/>
      <c r="P33" s="26"/>
      <c r="Q33" s="29"/>
      <c r="R33" s="29"/>
      <c r="S33" s="29"/>
      <c r="T33" s="29"/>
      <c r="U33" s="29"/>
      <c r="V33" s="29"/>
      <c r="W33" s="4"/>
      <c r="X33" s="4"/>
      <c r="Y33" s="4"/>
      <c r="Z33" s="29"/>
      <c r="AA33" s="29"/>
      <c r="AB33" s="29"/>
      <c r="AC33" s="26"/>
      <c r="AD33" s="32"/>
      <c r="AE33" s="32"/>
      <c r="AF33" s="4"/>
      <c r="AG33" s="4"/>
      <c r="AH33" s="4"/>
      <c r="AI33" s="4"/>
      <c r="AJ33" s="67"/>
      <c r="AK33" s="77"/>
      <c r="AL33" s="77"/>
      <c r="AM33" s="77"/>
      <c r="AN33" s="77"/>
      <c r="AO33" s="77"/>
      <c r="AP33" s="77"/>
      <c r="AQ33" s="77"/>
    </row>
    <row r="34" spans="1:43" ht="14.25" hidden="1" customHeight="1" x14ac:dyDescent="0.15">
      <c r="A34" s="78"/>
      <c r="B34" s="62"/>
      <c r="C34" s="4"/>
      <c r="D34" s="4"/>
      <c r="E34" s="4"/>
      <c r="F34" s="4"/>
      <c r="G34" s="4"/>
      <c r="H34" s="4"/>
      <c r="I34" s="4"/>
      <c r="J34" s="25" t="str">
        <f ca="1">IF(AND(L34&gt;0,L34&lt;&gt;""),"ale ","")&amp;"z tego w rocznicy: "</f>
        <v xml:space="preserve">z tego w rocznicy: </v>
      </c>
      <c r="K34" s="25"/>
      <c r="L34" s="31" t="str">
        <f ca="1">IF(AND(error=0,L30="przedłużenie"),IF(L33&lt;&gt;SUM(Kalkulator!BE80:BE86),L33-SUM(Kalkulator!BE80:BE86),0),"")</f>
        <v/>
      </c>
      <c r="M34" s="29"/>
      <c r="N34" s="4"/>
      <c r="O34" s="26"/>
      <c r="P34" s="29"/>
      <c r="Q34" s="29"/>
      <c r="R34" s="29"/>
      <c r="S34" s="29"/>
      <c r="T34" s="29"/>
      <c r="U34" s="26"/>
      <c r="V34" s="31"/>
      <c r="W34" s="4"/>
      <c r="X34" s="4"/>
      <c r="Y34" s="4"/>
      <c r="Z34" s="26"/>
      <c r="AA34" s="31"/>
      <c r="AB34" s="29"/>
      <c r="AC34" s="26"/>
      <c r="AD34" s="32"/>
      <c r="AE34" s="32"/>
      <c r="AF34" s="4"/>
      <c r="AG34" s="4"/>
      <c r="AH34" s="4"/>
      <c r="AI34" s="4"/>
      <c r="AJ34" s="67"/>
      <c r="AK34" s="77"/>
      <c r="AL34" s="77"/>
      <c r="AM34" s="77"/>
      <c r="AN34" s="77"/>
      <c r="AO34" s="77"/>
      <c r="AP34" s="77"/>
      <c r="AQ34" s="77"/>
    </row>
    <row r="35" spans="1:43" ht="14.25" customHeight="1" x14ac:dyDescent="0.15">
      <c r="B35" s="62"/>
      <c r="C35" s="632" t="s">
        <v>37</v>
      </c>
      <c r="D35" s="632"/>
      <c r="E35" s="632"/>
      <c r="F35" s="632"/>
      <c r="G35" s="632"/>
      <c r="H35" s="632"/>
      <c r="I35" s="632"/>
      <c r="J35" s="632"/>
      <c r="K35" s="25"/>
      <c r="L35" s="38" t="str">
        <f ca="1">IF(AND(error=0,L30="przedłużenie"),L33-L34,"")</f>
        <v/>
      </c>
      <c r="M35" s="29"/>
      <c r="N35" s="4"/>
      <c r="O35" s="26"/>
      <c r="P35" s="30"/>
      <c r="Q35" s="29"/>
      <c r="R35" s="29"/>
      <c r="S35" s="29"/>
      <c r="T35" s="29"/>
      <c r="U35" s="26"/>
      <c r="V35" s="31"/>
      <c r="W35" s="4"/>
      <c r="X35" s="4"/>
      <c r="Y35" s="4"/>
      <c r="Z35" s="26"/>
      <c r="AA35" s="31"/>
      <c r="AB35" s="29"/>
      <c r="AC35" s="26"/>
      <c r="AD35" s="32"/>
      <c r="AE35" s="32"/>
      <c r="AF35" s="4"/>
      <c r="AG35" s="4"/>
      <c r="AH35" s="4"/>
      <c r="AI35" s="4"/>
      <c r="AJ35" s="67"/>
    </row>
    <row r="36" spans="1:43" ht="14.25" customHeight="1" x14ac:dyDescent="0.15">
      <c r="B36" s="62"/>
      <c r="C36" s="632" t="s">
        <v>137</v>
      </c>
      <c r="D36" s="632"/>
      <c r="E36" s="632"/>
      <c r="F36" s="632"/>
      <c r="G36" s="632"/>
      <c r="H36" s="632"/>
      <c r="I36" s="632"/>
      <c r="J36" s="632"/>
      <c r="K36" s="25"/>
      <c r="L36" s="618" t="str">
        <f ca="1">IF(AND(error=0,L30="przedłużenie",L35&gt;0),SUM(Kalkulator!BJ80:BL86),"")</f>
        <v/>
      </c>
      <c r="M36" s="618"/>
      <c r="N36" s="618"/>
      <c r="O36" s="618"/>
      <c r="P36" s="30" t="str">
        <f ca="1">IF(AND(error=0,L30="przedłużenie",L35&gt;0),IF(L36=$K$18,"podstawa obliczania prowizji na dzień "&amp; ppStartText&amp;" r.","kwota gwarancji "&amp;IF(L36=$S$16,"po zmianie","przed zmianą")),"")</f>
        <v/>
      </c>
      <c r="Q36" s="29"/>
      <c r="R36" s="29"/>
      <c r="S36" s="29"/>
      <c r="T36" s="29"/>
      <c r="U36" s="29"/>
      <c r="V36" s="29"/>
      <c r="W36" s="29"/>
      <c r="X36" s="29"/>
      <c r="Y36" s="29"/>
      <c r="Z36" s="4"/>
      <c r="AA36" s="4"/>
      <c r="AB36" s="4"/>
      <c r="AC36" s="26"/>
      <c r="AD36" s="29"/>
      <c r="AE36" s="29"/>
      <c r="AF36" s="4"/>
      <c r="AG36" s="4"/>
      <c r="AH36" s="4"/>
      <c r="AI36" s="4"/>
      <c r="AJ36" s="67"/>
    </row>
    <row r="37" spans="1:43" ht="14.25" customHeight="1" x14ac:dyDescent="0.15">
      <c r="B37" s="62"/>
      <c r="C37" s="632" t="s">
        <v>94</v>
      </c>
      <c r="D37" s="632"/>
      <c r="E37" s="632"/>
      <c r="F37" s="632"/>
      <c r="G37" s="632"/>
      <c r="H37" s="632"/>
      <c r="I37" s="632"/>
      <c r="J37" s="632"/>
      <c r="K37" s="25"/>
      <c r="L37" s="618" t="str">
        <f ca="1">IF(AND(error=0,L30="przedłużenie",L35&gt;0),SUM(Kalkulator!BS80:BU86),"")</f>
        <v/>
      </c>
      <c r="M37" s="618"/>
      <c r="N37" s="618"/>
      <c r="O37" s="618"/>
      <c r="P37" s="30" t="str">
        <f ca="1">IF(AND(error=0,L30="przedłużenie",L35&gt;0),TEXT(L36,"0,0#")&amp;" × "&amp;L35&amp;"/12 × "&amp;TEXT(prowizja,"0,0#%")&amp;" = "&amp;TEXT(L37,"0,0#"),"")</f>
        <v/>
      </c>
      <c r="Q37" s="29"/>
      <c r="R37" s="29"/>
      <c r="S37" s="29"/>
      <c r="T37" s="26"/>
      <c r="U37" s="29"/>
      <c r="V37" s="29"/>
      <c r="W37" s="29"/>
      <c r="X37" s="29"/>
      <c r="Y37" s="4"/>
      <c r="Z37" s="4"/>
      <c r="AA37" s="4"/>
      <c r="AB37" s="4"/>
      <c r="AC37" s="26"/>
      <c r="AD37" s="29"/>
      <c r="AE37" s="29"/>
      <c r="AF37" s="4"/>
      <c r="AG37" s="4"/>
      <c r="AH37" s="4"/>
      <c r="AI37" s="4"/>
      <c r="AJ37" s="67"/>
    </row>
    <row r="38" spans="1:43" ht="5.25" customHeight="1" x14ac:dyDescent="0.15">
      <c r="B38" s="62"/>
      <c r="C38" s="621"/>
      <c r="D38" s="621"/>
      <c r="E38" s="621"/>
      <c r="F38" s="621"/>
      <c r="G38" s="621"/>
      <c r="H38" s="621"/>
      <c r="I38" s="621"/>
      <c r="J38" s="621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67"/>
    </row>
    <row r="39" spans="1:43" ht="3.75" customHeight="1" x14ac:dyDescent="0.15">
      <c r="B39" s="63"/>
      <c r="C39" s="623"/>
      <c r="D39" s="623"/>
      <c r="E39" s="623"/>
      <c r="F39" s="623"/>
      <c r="G39" s="623"/>
      <c r="H39" s="623"/>
      <c r="I39" s="623"/>
      <c r="J39" s="623"/>
      <c r="K39" s="69"/>
      <c r="L39" s="70"/>
      <c r="M39" s="70"/>
      <c r="N39" s="70"/>
      <c r="O39" s="70"/>
      <c r="P39" s="71"/>
      <c r="Q39" s="71"/>
      <c r="R39" s="71"/>
      <c r="S39" s="71"/>
      <c r="T39" s="71"/>
      <c r="U39" s="71"/>
      <c r="V39" s="72"/>
      <c r="W39" s="72"/>
      <c r="X39" s="72"/>
      <c r="Y39" s="69"/>
      <c r="Z39" s="69"/>
      <c r="AA39" s="69"/>
      <c r="AB39" s="69"/>
      <c r="AC39" s="73"/>
      <c r="AD39" s="72"/>
      <c r="AE39" s="72"/>
      <c r="AF39" s="73"/>
      <c r="AG39" s="74"/>
      <c r="AH39" s="69"/>
      <c r="AI39" s="69"/>
      <c r="AJ39" s="75"/>
    </row>
    <row r="40" spans="1:43" ht="5.25" customHeight="1" x14ac:dyDescent="0.15">
      <c r="B40" s="62"/>
      <c r="C40" s="621"/>
      <c r="D40" s="621"/>
      <c r="E40" s="621"/>
      <c r="F40" s="621"/>
      <c r="G40" s="621"/>
      <c r="H40" s="621"/>
      <c r="I40" s="621"/>
      <c r="J40" s="621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67"/>
    </row>
    <row r="41" spans="1:43" ht="14.25" customHeight="1" x14ac:dyDescent="0.15">
      <c r="B41" s="62"/>
      <c r="C41" s="632" t="s">
        <v>133</v>
      </c>
      <c r="D41" s="632"/>
      <c r="E41" s="632"/>
      <c r="F41" s="632"/>
      <c r="G41" s="632"/>
      <c r="H41" s="632"/>
      <c r="I41" s="632"/>
      <c r="J41" s="632"/>
      <c r="K41" s="25"/>
      <c r="L41" s="27" t="str">
        <f ca="1">W16</f>
        <v/>
      </c>
      <c r="M41" s="4"/>
      <c r="N41" s="4"/>
      <c r="O41" s="4"/>
      <c r="P41" s="36" t="str">
        <f ca="1">IF(L41="obniżenie","prowizja od obniżenia nie jest naliczana",IF(AND(error=0,L41="podwyższenie",L45=0,L44&gt;0),"prowizja od podwyższenia w całości zawarta w prowizji rocznicowej",""))</f>
        <v/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32"/>
      <c r="AI41" s="4"/>
      <c r="AJ41" s="67"/>
    </row>
    <row r="42" spans="1:43" ht="14.25" customHeight="1" x14ac:dyDescent="0.15">
      <c r="B42" s="62"/>
      <c r="C42" s="632" t="s">
        <v>135</v>
      </c>
      <c r="D42" s="632"/>
      <c r="E42" s="632"/>
      <c r="F42" s="632"/>
      <c r="G42" s="632"/>
      <c r="H42" s="632"/>
      <c r="I42" s="632"/>
      <c r="J42" s="632"/>
      <c r="K42" s="25"/>
      <c r="L42" s="620" t="str">
        <f ca="1">IF(AND(error=0,L41="podwyższenie",L45&gt;0),realChgDate,"")</f>
        <v/>
      </c>
      <c r="M42" s="620"/>
      <c r="N42" s="620"/>
      <c r="O42" s="25" t="str">
        <f ca="1">IF(P42&lt;&gt;"","do: ","")</f>
        <v/>
      </c>
      <c r="P42" s="620" t="str">
        <f ca="1">IF(AND(error=0,L41="podwyższenie",L45&gt;0),IF(repDate&lt;ppStart,MIN(ppStart,S14),IF(O15&lt;&gt;ppEnd,MIN(ppEnd,S14),P23)),"")</f>
        <v/>
      </c>
      <c r="Q42" s="620"/>
      <c r="R42" s="620"/>
      <c r="S42" s="30" t="str">
        <f ca="1">IF(OR(error&gt;0,L41&lt;&gt;"podwyższenie"),
              "",
              IF(P42=P23, "prowizja od podwyższenia tylko do końca okresu rocznicowego", IF(P42=L23, "prowizja od podwyższenia tylko do początku okresu rocznicowego","")))</f>
        <v/>
      </c>
      <c r="T42" s="28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67"/>
    </row>
    <row r="43" spans="1:43" ht="14.25" hidden="1" customHeight="1" x14ac:dyDescent="0.15">
      <c r="A43" s="78"/>
      <c r="B43" s="62"/>
      <c r="C43" s="4"/>
      <c r="D43" s="4"/>
      <c r="E43" s="4"/>
      <c r="F43" s="4"/>
      <c r="G43" s="4"/>
      <c r="H43" s="4"/>
      <c r="I43" s="4"/>
      <c r="J43" s="25" t="s">
        <v>37</v>
      </c>
      <c r="K43" s="25"/>
      <c r="L43" s="31" t="str">
        <f ca="1">IF(AND(error=0,L41="podwyższenie"),amtMonths,"")</f>
        <v/>
      </c>
      <c r="M43" s="29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4"/>
      <c r="AE43" s="4"/>
      <c r="AF43" s="4"/>
      <c r="AG43" s="4"/>
      <c r="AH43" s="4"/>
      <c r="AI43" s="4"/>
      <c r="AJ43" s="67"/>
      <c r="AK43" s="77"/>
      <c r="AL43" s="77"/>
      <c r="AM43" s="77"/>
      <c r="AN43" s="77"/>
      <c r="AO43" s="77"/>
      <c r="AP43" s="77"/>
      <c r="AQ43" s="77"/>
    </row>
    <row r="44" spans="1:43" ht="14.25" hidden="1" customHeight="1" x14ac:dyDescent="0.15">
      <c r="A44" s="78"/>
      <c r="B44" s="62"/>
      <c r="C44" s="4"/>
      <c r="D44" s="4"/>
      <c r="E44" s="4"/>
      <c r="F44" s="4"/>
      <c r="G44" s="4"/>
      <c r="H44" s="4"/>
      <c r="I44" s="4"/>
      <c r="J44" s="25" t="str">
        <f ca="1">IF(AND(L44&gt;0,L44&lt;&gt;""),"ale ","")&amp;"z tego w rocznicy: "</f>
        <v xml:space="preserve">z tego w rocznicy: </v>
      </c>
      <c r="K44" s="25"/>
      <c r="L44" s="31" t="str">
        <f ca="1">IF(AND(error=0,L41="podwyższenie"),IF(L43&lt;&gt;SUM(Kalkulator!BF80:BF86),L43-SUM(Kalkulator!BF80:BF86),0),"")</f>
        <v/>
      </c>
      <c r="M44" s="29"/>
      <c r="N44" s="4"/>
      <c r="O44" s="26"/>
      <c r="P44" s="29"/>
      <c r="Q44" s="29"/>
      <c r="R44" s="29"/>
      <c r="S44" s="29"/>
      <c r="T44" s="4"/>
      <c r="U44" s="26"/>
      <c r="V44" s="31"/>
      <c r="W44" s="4"/>
      <c r="X44" s="4"/>
      <c r="Y44" s="4"/>
      <c r="Z44" s="26"/>
      <c r="AA44" s="31"/>
      <c r="AB44" s="29"/>
      <c r="AC44" s="26"/>
      <c r="AD44" s="4"/>
      <c r="AE44" s="4"/>
      <c r="AF44" s="4"/>
      <c r="AG44" s="4"/>
      <c r="AH44" s="4"/>
      <c r="AI44" s="4"/>
      <c r="AJ44" s="67"/>
      <c r="AK44" s="77"/>
      <c r="AL44" s="77"/>
      <c r="AM44" s="77"/>
      <c r="AN44" s="77"/>
      <c r="AO44" s="77"/>
      <c r="AP44" s="77"/>
      <c r="AQ44" s="77"/>
    </row>
    <row r="45" spans="1:43" ht="14.25" customHeight="1" x14ac:dyDescent="0.15">
      <c r="B45" s="62"/>
      <c r="C45" s="632" t="s">
        <v>180</v>
      </c>
      <c r="D45" s="632"/>
      <c r="E45" s="632"/>
      <c r="F45" s="632"/>
      <c r="G45" s="632"/>
      <c r="H45" s="632"/>
      <c r="I45" s="632"/>
      <c r="J45" s="632"/>
      <c r="K45" s="25"/>
      <c r="L45" s="38" t="str">
        <f ca="1">IF(AND(error=0,L41="podwyższenie"),L43-L44,"")</f>
        <v/>
      </c>
      <c r="M45" s="29"/>
      <c r="N45" s="4"/>
      <c r="O45" s="26"/>
      <c r="P45" s="30"/>
      <c r="Q45" s="29"/>
      <c r="R45" s="29"/>
      <c r="S45" s="29"/>
      <c r="T45" s="4"/>
      <c r="U45" s="26"/>
      <c r="V45" s="31"/>
      <c r="W45" s="4"/>
      <c r="X45" s="4"/>
      <c r="Y45" s="4"/>
      <c r="Z45" s="26"/>
      <c r="AA45" s="31"/>
      <c r="AB45" s="29"/>
      <c r="AC45" s="26"/>
      <c r="AD45" s="4"/>
      <c r="AE45" s="4"/>
      <c r="AF45" s="4"/>
      <c r="AG45" s="4"/>
      <c r="AH45" s="4"/>
      <c r="AI45" s="4"/>
      <c r="AJ45" s="67"/>
    </row>
    <row r="46" spans="1:43" ht="14.25" customHeight="1" x14ac:dyDescent="0.15">
      <c r="B46" s="62"/>
      <c r="C46" s="632" t="s">
        <v>137</v>
      </c>
      <c r="D46" s="632"/>
      <c r="E46" s="632"/>
      <c r="F46" s="632"/>
      <c r="G46" s="632"/>
      <c r="H46" s="632"/>
      <c r="I46" s="632"/>
      <c r="J46" s="632"/>
      <c r="K46" s="25"/>
      <c r="L46" s="618" t="str">
        <f ca="1">IF(AND(error=0,L41="podwyższenie",L45&gt;0),SUM(Kalkulator!BM80:BO86),"")</f>
        <v/>
      </c>
      <c r="M46" s="618"/>
      <c r="N46" s="618"/>
      <c r="O46" s="618"/>
      <c r="P46" s="30" t="str">
        <f ca="1">IF(AND(error=0,L41="podwyższenie",L45&gt;0),"różnica między kwotą gwarancji po zmianie a "&amp;IF(OR(repDate&lt;ppStart,rocznica=0,actAmtInp=""),"kwotą gwarancji przed zmianą","podstawą wyliczania prowizji"),"")</f>
        <v/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67"/>
    </row>
    <row r="47" spans="1:43" ht="14.25" customHeight="1" x14ac:dyDescent="0.15">
      <c r="B47" s="62"/>
      <c r="C47" s="632" t="s">
        <v>94</v>
      </c>
      <c r="D47" s="632"/>
      <c r="E47" s="632"/>
      <c r="F47" s="632"/>
      <c r="G47" s="632"/>
      <c r="H47" s="632"/>
      <c r="I47" s="632"/>
      <c r="J47" s="632"/>
      <c r="K47" s="25"/>
      <c r="L47" s="618" t="str">
        <f ca="1">IF(AND(error=0,L41="podwyższenie",L45&gt;0),SUM(Kalkulator!BV80:BX86),"")</f>
        <v/>
      </c>
      <c r="M47" s="618"/>
      <c r="N47" s="618"/>
      <c r="O47" s="618"/>
      <c r="P47" s="30" t="str">
        <f ca="1">IF(AND(error=0,L41="podwyższenie",L45&gt;0),"("&amp;TEXT(newGuar,"0,0#")&amp;" – "&amp;TEXT(IF(OR(repDate&lt;ppStart,rocznica=0),actGuar,actAmt),"0,0#")&amp;")"&amp;" × "&amp;L45&amp;"/12 × "&amp;TEXT(prowizja,"0,0#%")&amp;" = "&amp;TEXT(L47,"0,0#"),"")</f>
        <v/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67"/>
    </row>
    <row r="48" spans="1:43" ht="27.75" customHeight="1" x14ac:dyDescent="0.15">
      <c r="B48" s="64"/>
      <c r="C48" s="82"/>
      <c r="D48" s="622" t="s">
        <v>213</v>
      </c>
      <c r="E48" s="622"/>
      <c r="F48" s="622"/>
      <c r="G48" s="622"/>
      <c r="H48" s="622"/>
      <c r="I48" s="622"/>
      <c r="J48" s="622"/>
      <c r="K48" s="82"/>
      <c r="L48" s="617" t="str">
        <f ca="1">IF(AND(error=0),SUM(L47,L37,L26),"")</f>
        <v/>
      </c>
      <c r="M48" s="617"/>
      <c r="N48" s="617"/>
      <c r="O48" s="617"/>
      <c r="P48" s="85" t="str">
        <f ca="1">IF(AND(error=0,L44="podwyższenie"),"("&amp;TEXT(#REF!,"0,0#")&amp;" × "&amp;#REF!&amp;"/12 × "&amp;TEXT(prowizja,"0,0#%")&amp;" = "&amp;TEXT(L48,"0,0#")&amp;")","")</f>
        <v/>
      </c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6"/>
      <c r="AI48" s="86"/>
      <c r="AJ48" s="84"/>
    </row>
    <row r="49" spans="2:36" ht="27.75" customHeight="1" x14ac:dyDescent="0.15">
      <c r="B49" s="62"/>
      <c r="C49" s="4"/>
      <c r="D49" s="37" t="s">
        <v>214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25" t="s">
        <v>187</v>
      </c>
      <c r="AI49" s="4"/>
      <c r="AJ49" s="67"/>
    </row>
  </sheetData>
  <sheetProtection algorithmName="SHA-512" hashValue="VfNgj82hewVGT9KA8RV3axnXUxS1iVF4sxCHBLaYZUDuj9VbWK7hGL/ckpJQANjZYuiYRoGBbhBWGYg6IgGMnw==" saltValue="AF0vatJ+t4J6Rckd3QnvWA==" spinCount="100000" sheet="1" objects="1" scenarios="1"/>
  <mergeCells count="72">
    <mergeCell ref="D10:N10"/>
    <mergeCell ref="D11:N11"/>
    <mergeCell ref="O10:V10"/>
    <mergeCell ref="O11:V11"/>
    <mergeCell ref="D7:N7"/>
    <mergeCell ref="D9:N9"/>
    <mergeCell ref="O9:V9"/>
    <mergeCell ref="O7:V7"/>
    <mergeCell ref="D8:N8"/>
    <mergeCell ref="O8:V8"/>
    <mergeCell ref="C47:J47"/>
    <mergeCell ref="C23:J23"/>
    <mergeCell ref="C24:J24"/>
    <mergeCell ref="C25:J25"/>
    <mergeCell ref="C26:J26"/>
    <mergeCell ref="C30:J30"/>
    <mergeCell ref="C32:J32"/>
    <mergeCell ref="C29:J29"/>
    <mergeCell ref="C35:J35"/>
    <mergeCell ref="C36:J36"/>
    <mergeCell ref="C37:J37"/>
    <mergeCell ref="C41:J41"/>
    <mergeCell ref="C42:J42"/>
    <mergeCell ref="C45:J45"/>
    <mergeCell ref="C46:J46"/>
    <mergeCell ref="L37:O37"/>
    <mergeCell ref="L25:O25"/>
    <mergeCell ref="L36:O36"/>
    <mergeCell ref="L26:O26"/>
    <mergeCell ref="D18:J18"/>
    <mergeCell ref="K18:N18"/>
    <mergeCell ref="N2:Q2"/>
    <mergeCell ref="P31:R31"/>
    <mergeCell ref="L42:N42"/>
    <mergeCell ref="P42:R42"/>
    <mergeCell ref="O16:R16"/>
    <mergeCell ref="O14:R14"/>
    <mergeCell ref="O15:R15"/>
    <mergeCell ref="C3:AI3"/>
    <mergeCell ref="M4:P4"/>
    <mergeCell ref="I5:R5"/>
    <mergeCell ref="W5:Z5"/>
    <mergeCell ref="AF5:AH5"/>
    <mergeCell ref="C22:J22"/>
    <mergeCell ref="C21:J21"/>
    <mergeCell ref="W16:AH16"/>
    <mergeCell ref="W15:AH15"/>
    <mergeCell ref="L48:O48"/>
    <mergeCell ref="L47:O47"/>
    <mergeCell ref="S16:V16"/>
    <mergeCell ref="L46:O46"/>
    <mergeCell ref="L23:N23"/>
    <mergeCell ref="P23:R23"/>
    <mergeCell ref="L32:N32"/>
    <mergeCell ref="L31:N31"/>
    <mergeCell ref="D16:N16"/>
    <mergeCell ref="P32:R32"/>
    <mergeCell ref="C27:J27"/>
    <mergeCell ref="D48:J48"/>
    <mergeCell ref="C38:J38"/>
    <mergeCell ref="C39:J39"/>
    <mergeCell ref="C40:J40"/>
    <mergeCell ref="C28:J28"/>
    <mergeCell ref="W13:AH13"/>
    <mergeCell ref="O13:R13"/>
    <mergeCell ref="S13:V13"/>
    <mergeCell ref="D15:N15"/>
    <mergeCell ref="D14:N14"/>
    <mergeCell ref="D13:N13"/>
    <mergeCell ref="S14:V14"/>
    <mergeCell ref="W14:AH14"/>
    <mergeCell ref="S15:V15"/>
  </mergeCells>
  <phoneticPr fontId="3" type="noConversion"/>
  <conditionalFormatting sqref="C48:D48">
    <cfRule type="expression" dxfId="20" priority="26" stopIfTrue="1">
      <formula>$L$49*1&gt;0</formula>
    </cfRule>
  </conditionalFormatting>
  <conditionalFormatting sqref="C22:J30">
    <cfRule type="expression" dxfId="19" priority="17">
      <formula>L22=""</formula>
    </cfRule>
  </conditionalFormatting>
  <conditionalFormatting sqref="C32:J32">
    <cfRule type="expression" dxfId="18" priority="16">
      <formula>L32=""</formula>
    </cfRule>
  </conditionalFormatting>
  <conditionalFormatting sqref="C35:J42">
    <cfRule type="expression" dxfId="17" priority="11">
      <formula>L35=""</formula>
    </cfRule>
  </conditionalFormatting>
  <conditionalFormatting sqref="C45:J47">
    <cfRule type="expression" dxfId="16" priority="8">
      <formula>L45=""</formula>
    </cfRule>
  </conditionalFormatting>
  <conditionalFormatting sqref="K23:K26">
    <cfRule type="expression" dxfId="15" priority="66" stopIfTrue="1">
      <formula>$L$26*1&gt;0</formula>
    </cfRule>
  </conditionalFormatting>
  <conditionalFormatting sqref="K30 J31:K31 O31 K32 J33:K34 K35:K37">
    <cfRule type="expression" dxfId="14" priority="64" stopIfTrue="1">
      <formula>$L$37*1&gt;0</formula>
    </cfRule>
  </conditionalFormatting>
  <conditionalFormatting sqref="K41:K42 O42 J43:K44 K45:K47">
    <cfRule type="expression" dxfId="13" priority="63" stopIfTrue="1">
      <formula>$L$47*1&gt;0</formula>
    </cfRule>
  </conditionalFormatting>
  <conditionalFormatting sqref="K48">
    <cfRule type="expression" dxfId="12" priority="28" stopIfTrue="1">
      <formula>$L$49*1&gt;0</formula>
    </cfRule>
  </conditionalFormatting>
  <conditionalFormatting sqref="L35">
    <cfRule type="cellIs" dxfId="11" priority="76" stopIfTrue="1" operator="equal">
      <formula>0</formula>
    </cfRule>
  </conditionalFormatting>
  <conditionalFormatting sqref="L45">
    <cfRule type="cellIs" dxfId="10" priority="75" stopIfTrue="1" operator="equal">
      <formula>0</formula>
    </cfRule>
  </conditionalFormatting>
  <conditionalFormatting sqref="O23">
    <cfRule type="expression" dxfId="9" priority="33" stopIfTrue="1">
      <formula>$L$47*1&gt;0</formula>
    </cfRule>
  </conditionalFormatting>
  <conditionalFormatting sqref="O32">
    <cfRule type="expression" dxfId="8" priority="46" stopIfTrue="1">
      <formula>$L$47*1&gt;0</formula>
    </cfRule>
  </conditionalFormatting>
  <conditionalFormatting sqref="P22">
    <cfRule type="expression" dxfId="7" priority="23" stopIfTrue="1">
      <formula>OR(error130=1,AND(annv=0,annv2=1))</formula>
    </cfRule>
  </conditionalFormatting>
  <conditionalFormatting sqref="P23:R23">
    <cfRule type="expression" dxfId="6" priority="60" stopIfTrue="1">
      <formula>$L$23=$P$23</formula>
    </cfRule>
  </conditionalFormatting>
  <conditionalFormatting sqref="S32">
    <cfRule type="expression" dxfId="5" priority="77" stopIfTrue="1">
      <formula>$L$32&gt;=ppEnd</formula>
    </cfRule>
  </conditionalFormatting>
  <conditionalFormatting sqref="S13:V13">
    <cfRule type="expression" dxfId="4" priority="7" stopIfTrue="1">
      <formula>OR(error&gt;0,wariant&lt;2)</formula>
    </cfRule>
  </conditionalFormatting>
  <conditionalFormatting sqref="S14:V16">
    <cfRule type="expression" dxfId="3" priority="200" stopIfTrue="1">
      <formula>$S14&lt;&gt;$O14</formula>
    </cfRule>
  </conditionalFormatting>
  <conditionalFormatting sqref="S14:AH16">
    <cfRule type="expression" dxfId="2" priority="36" stopIfTrue="1">
      <formula>AND(error=0,wariant&gt;1)</formula>
    </cfRule>
  </conditionalFormatting>
  <conditionalFormatting sqref="W13:AH13">
    <cfRule type="expression" dxfId="1" priority="42" stopIfTrue="1">
      <formula>OR(error&gt;0,wariant&lt;2)</formula>
    </cfRule>
  </conditionalFormatting>
  <conditionalFormatting sqref="W15:AH15">
    <cfRule type="expression" dxfId="0" priority="47" stopIfTrue="1">
      <formula>AND($O$15=$S$15,$O$14&lt;&gt;$S$14)</formula>
    </cfRule>
  </conditionalFormatting>
  <pageMargins left="0.78740157480314965" right="0.39370078740157483" top="0.74803149606299213" bottom="0.74803149606299213" header="0.31496062992125984" footer="0.31496062992125984"/>
  <pageSetup paperSize="9" orientation="portrait" blackAndWhite="1" r:id="rId1"/>
  <headerFooter>
    <oddFooter>&amp;LData wydruku: &amp;D, &amp;T&amp;RStrona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B0F0"/>
    <pageSetUpPr fitToPage="1"/>
  </sheetPr>
  <dimension ref="B1:G76"/>
  <sheetViews>
    <sheetView zoomScaleNormal="100" zoomScaleSheetLayoutView="80" workbookViewId="0">
      <selection activeCell="F13" sqref="F13"/>
    </sheetView>
  </sheetViews>
  <sheetFormatPr defaultColWidth="9.33203125" defaultRowHeight="10.5" x14ac:dyDescent="0.15"/>
  <cols>
    <col min="1" max="1" width="3.1640625" style="68" customWidth="1"/>
    <col min="2" max="2" width="2.83203125" style="68" customWidth="1"/>
    <col min="3" max="3" width="9.1640625" style="68" customWidth="1"/>
    <col min="4" max="4" width="31.5" style="68" customWidth="1"/>
    <col min="5" max="5" width="4.6640625" style="68" customWidth="1"/>
    <col min="6" max="6" width="84.5" style="68" customWidth="1"/>
    <col min="7" max="7" width="2.83203125" style="68" customWidth="1"/>
    <col min="8" max="16384" width="9.33203125" style="68"/>
  </cols>
  <sheetData>
    <row r="1" spans="2:7" ht="14.25" customHeight="1" x14ac:dyDescent="0.15"/>
    <row r="2" spans="2:7" ht="27.75" customHeight="1" x14ac:dyDescent="0.15">
      <c r="B2" s="188"/>
      <c r="C2" s="189" t="str">
        <f>"Zasady wypełniania danych w kalkulatorze BGK do wyliczenia pomocy i prowizji, v." &amp; calcVer</f>
        <v>Zasady wypełniania danych w kalkulatorze BGK do wyliczenia pomocy i prowizji, v.1.0.30ß</v>
      </c>
      <c r="D2" s="189"/>
      <c r="E2" s="189"/>
      <c r="F2" s="189"/>
      <c r="G2" s="190"/>
    </row>
    <row r="3" spans="2:7" ht="23.25" customHeight="1" x14ac:dyDescent="0.15">
      <c r="B3" s="149"/>
      <c r="C3" s="153" t="s">
        <v>256</v>
      </c>
      <c r="D3" s="154" t="s">
        <v>61</v>
      </c>
      <c r="E3" s="646" t="s">
        <v>82</v>
      </c>
      <c r="F3" s="646"/>
      <c r="G3" s="150"/>
    </row>
    <row r="4" spans="2:7" ht="23.25" customHeight="1" x14ac:dyDescent="0.15">
      <c r="B4" s="152"/>
      <c r="C4" s="155" t="s">
        <v>257</v>
      </c>
      <c r="D4" s="156" t="s">
        <v>62</v>
      </c>
      <c r="E4" s="647" t="s">
        <v>81</v>
      </c>
      <c r="F4" s="647" t="s">
        <v>64</v>
      </c>
      <c r="G4" s="151"/>
    </row>
    <row r="5" spans="2:7" ht="23.25" customHeight="1" x14ac:dyDescent="0.15">
      <c r="B5" s="149"/>
      <c r="C5" s="157" t="s">
        <v>258</v>
      </c>
      <c r="D5" s="154" t="s">
        <v>259</v>
      </c>
      <c r="E5" s="646" t="s">
        <v>124</v>
      </c>
      <c r="F5" s="646" t="s">
        <v>65</v>
      </c>
      <c r="G5" s="150"/>
    </row>
    <row r="6" spans="2:7" ht="33.75" customHeight="1" x14ac:dyDescent="0.15">
      <c r="B6" s="152"/>
      <c r="C6" s="158" t="s">
        <v>226</v>
      </c>
      <c r="D6" s="156" t="s">
        <v>130</v>
      </c>
      <c r="E6" s="647" t="s">
        <v>131</v>
      </c>
      <c r="F6" s="647" t="s">
        <v>66</v>
      </c>
      <c r="G6" s="151"/>
    </row>
    <row r="7" spans="2:7" ht="33.75" customHeight="1" x14ac:dyDescent="0.15">
      <c r="B7" s="149"/>
      <c r="C7" s="165" t="s">
        <v>260</v>
      </c>
      <c r="D7" s="159" t="s">
        <v>63</v>
      </c>
      <c r="E7" s="646" t="s">
        <v>269</v>
      </c>
      <c r="F7" s="646" t="s">
        <v>67</v>
      </c>
      <c r="G7" s="150"/>
    </row>
    <row r="8" spans="2:7" ht="23.25" customHeight="1" x14ac:dyDescent="0.15">
      <c r="B8" s="188"/>
      <c r="C8" s="189" t="s">
        <v>88</v>
      </c>
      <c r="D8" s="191"/>
      <c r="E8" s="191"/>
      <c r="F8" s="191"/>
      <c r="G8" s="190"/>
    </row>
    <row r="9" spans="2:7" ht="17.25" customHeight="1" x14ac:dyDescent="0.15">
      <c r="B9" s="188"/>
      <c r="C9" s="192" t="s">
        <v>261</v>
      </c>
      <c r="D9" s="193" t="s">
        <v>262</v>
      </c>
      <c r="E9" s="645" t="s">
        <v>210</v>
      </c>
      <c r="F9" s="645"/>
      <c r="G9" s="190"/>
    </row>
    <row r="10" spans="2:7" ht="14.25" customHeight="1" x14ac:dyDescent="0.15">
      <c r="B10" s="152"/>
      <c r="C10" s="648">
        <v>1</v>
      </c>
      <c r="D10" s="644" t="s">
        <v>344</v>
      </c>
      <c r="E10" s="381" t="s">
        <v>70</v>
      </c>
      <c r="F10" s="237"/>
      <c r="G10" s="150"/>
    </row>
    <row r="11" spans="2:7" ht="12.75" customHeight="1" x14ac:dyDescent="0.15">
      <c r="B11" s="152"/>
      <c r="C11" s="648"/>
      <c r="D11" s="644"/>
      <c r="E11" s="164" t="s">
        <v>71</v>
      </c>
      <c r="F11" s="240" t="s">
        <v>439</v>
      </c>
      <c r="G11" s="150"/>
    </row>
    <row r="12" spans="2:7" ht="23.25" customHeight="1" x14ac:dyDescent="0.15">
      <c r="B12" s="152"/>
      <c r="C12" s="648"/>
      <c r="D12" s="644"/>
      <c r="E12" s="164" t="s">
        <v>72</v>
      </c>
      <c r="F12" s="240" t="s">
        <v>440</v>
      </c>
      <c r="G12" s="150"/>
    </row>
    <row r="13" spans="2:7" ht="23.25" customHeight="1" x14ac:dyDescent="0.15">
      <c r="B13" s="152"/>
      <c r="C13" s="648"/>
      <c r="D13" s="644"/>
      <c r="E13" s="164" t="s">
        <v>73</v>
      </c>
      <c r="F13" s="160" t="s">
        <v>441</v>
      </c>
      <c r="G13" s="150"/>
    </row>
    <row r="14" spans="2:7" ht="12.75" hidden="1" customHeight="1" x14ac:dyDescent="0.15">
      <c r="B14" s="152"/>
      <c r="C14" s="648"/>
      <c r="D14" s="644"/>
      <c r="E14" s="164" t="s">
        <v>74</v>
      </c>
      <c r="F14" s="160" t="s">
        <v>442</v>
      </c>
      <c r="G14" s="150"/>
    </row>
    <row r="15" spans="2:7" ht="23.25" hidden="1" customHeight="1" x14ac:dyDescent="0.15">
      <c r="B15" s="152"/>
      <c r="C15" s="648"/>
      <c r="D15" s="644"/>
      <c r="E15" s="164" t="s">
        <v>74</v>
      </c>
      <c r="F15" s="240" t="s">
        <v>443</v>
      </c>
      <c r="G15" s="150"/>
    </row>
    <row r="16" spans="2:7" ht="23.25" customHeight="1" x14ac:dyDescent="0.15">
      <c r="B16" s="152"/>
      <c r="C16" s="648"/>
      <c r="D16" s="644"/>
      <c r="E16" s="164" t="s">
        <v>74</v>
      </c>
      <c r="F16" s="361" t="s">
        <v>444</v>
      </c>
      <c r="G16" s="150"/>
    </row>
    <row r="17" spans="2:7" ht="23.25" customHeight="1" x14ac:dyDescent="0.15">
      <c r="B17" s="152"/>
      <c r="C17" s="648"/>
      <c r="D17" s="644"/>
      <c r="E17" s="164" t="s">
        <v>75</v>
      </c>
      <c r="F17" s="160" t="s">
        <v>445</v>
      </c>
      <c r="G17" s="150"/>
    </row>
    <row r="18" spans="2:7" ht="23.25" customHeight="1" x14ac:dyDescent="0.15">
      <c r="B18" s="152"/>
      <c r="C18" s="648"/>
      <c r="D18" s="644"/>
      <c r="E18" s="164" t="s">
        <v>76</v>
      </c>
      <c r="F18" s="160" t="s">
        <v>464</v>
      </c>
      <c r="G18" s="150"/>
    </row>
    <row r="19" spans="2:7" ht="23.25" customHeight="1" x14ac:dyDescent="0.15">
      <c r="B19" s="152"/>
      <c r="C19" s="648"/>
      <c r="D19" s="644"/>
      <c r="E19" s="164" t="s">
        <v>183</v>
      </c>
      <c r="F19" s="160" t="s">
        <v>479</v>
      </c>
      <c r="G19" s="150"/>
    </row>
    <row r="20" spans="2:7" ht="23.25" customHeight="1" x14ac:dyDescent="0.15">
      <c r="B20" s="152"/>
      <c r="C20" s="648"/>
      <c r="D20" s="644"/>
      <c r="E20" s="164" t="s">
        <v>393</v>
      </c>
      <c r="F20" s="160" t="s">
        <v>480</v>
      </c>
      <c r="G20" s="150"/>
    </row>
    <row r="21" spans="2:7" ht="0.75" customHeight="1" x14ac:dyDescent="0.15">
      <c r="B21" s="356"/>
      <c r="C21" s="357"/>
      <c r="D21" s="358"/>
      <c r="E21" s="358"/>
      <c r="F21" s="358"/>
      <c r="G21" s="359"/>
    </row>
    <row r="22" spans="2:7" ht="14.25" customHeight="1" x14ac:dyDescent="0.15">
      <c r="B22" s="152"/>
      <c r="C22" s="650">
        <v>2</v>
      </c>
      <c r="D22" s="649" t="s">
        <v>27</v>
      </c>
      <c r="E22" s="639" t="s">
        <v>70</v>
      </c>
      <c r="F22" s="639"/>
      <c r="G22" s="151"/>
    </row>
    <row r="23" spans="2:7" ht="21.75" customHeight="1" x14ac:dyDescent="0.15">
      <c r="B23" s="152"/>
      <c r="C23" s="650"/>
      <c r="D23" s="649"/>
      <c r="E23" s="354" t="s">
        <v>71</v>
      </c>
      <c r="F23" s="161" t="s">
        <v>182</v>
      </c>
      <c r="G23" s="151"/>
    </row>
    <row r="24" spans="2:7" ht="22.5" customHeight="1" x14ac:dyDescent="0.15">
      <c r="B24" s="152"/>
      <c r="C24" s="650"/>
      <c r="D24" s="649"/>
      <c r="E24" s="354" t="s">
        <v>72</v>
      </c>
      <c r="F24" s="355" t="s">
        <v>460</v>
      </c>
      <c r="G24" s="151"/>
    </row>
    <row r="25" spans="2:7" ht="32.25" customHeight="1" x14ac:dyDescent="0.15">
      <c r="B25" s="152"/>
      <c r="C25" s="650"/>
      <c r="D25" s="649"/>
      <c r="E25" s="354" t="s">
        <v>73</v>
      </c>
      <c r="F25" s="161" t="s">
        <v>416</v>
      </c>
      <c r="G25" s="151"/>
    </row>
    <row r="26" spans="2:7" ht="32.25" customHeight="1" x14ac:dyDescent="0.15">
      <c r="B26" s="152"/>
      <c r="C26" s="650"/>
      <c r="D26" s="649"/>
      <c r="E26" s="354" t="s">
        <v>74</v>
      </c>
      <c r="F26" s="161" t="s">
        <v>417</v>
      </c>
      <c r="G26" s="151"/>
    </row>
    <row r="27" spans="2:7" ht="53.25" customHeight="1" x14ac:dyDescent="0.15">
      <c r="B27" s="152"/>
      <c r="C27" s="650"/>
      <c r="D27" s="649"/>
      <c r="E27" s="354" t="s">
        <v>75</v>
      </c>
      <c r="F27" s="161" t="s">
        <v>418</v>
      </c>
      <c r="G27" s="151"/>
    </row>
    <row r="28" spans="2:7" ht="43.5" customHeight="1" x14ac:dyDescent="0.15">
      <c r="B28" s="152"/>
      <c r="C28" s="650"/>
      <c r="D28" s="649"/>
      <c r="E28" s="354" t="s">
        <v>76</v>
      </c>
      <c r="F28" s="161" t="s">
        <v>419</v>
      </c>
      <c r="G28" s="151"/>
    </row>
    <row r="29" spans="2:7" ht="33.75" customHeight="1" x14ac:dyDescent="0.15">
      <c r="B29" s="152"/>
      <c r="C29" s="650"/>
      <c r="D29" s="649"/>
      <c r="E29" s="354" t="s">
        <v>183</v>
      </c>
      <c r="F29" s="355" t="s">
        <v>425</v>
      </c>
      <c r="G29" s="151"/>
    </row>
    <row r="30" spans="2:7" ht="44.25" customHeight="1" x14ac:dyDescent="0.15">
      <c r="B30" s="152"/>
      <c r="C30" s="650"/>
      <c r="D30" s="649"/>
      <c r="E30" s="354" t="s">
        <v>393</v>
      </c>
      <c r="F30" s="360" t="s">
        <v>420</v>
      </c>
      <c r="G30" s="151"/>
    </row>
    <row r="31" spans="2:7" ht="26.25" customHeight="1" x14ac:dyDescent="0.15">
      <c r="B31" s="152"/>
      <c r="C31" s="650"/>
      <c r="D31" s="649"/>
      <c r="E31" s="354" t="s">
        <v>459</v>
      </c>
      <c r="F31" s="360" t="s">
        <v>462</v>
      </c>
      <c r="G31" s="151"/>
    </row>
    <row r="32" spans="2:7" ht="0.75" customHeight="1" x14ac:dyDescent="0.15">
      <c r="B32" s="356"/>
      <c r="C32" s="357"/>
      <c r="D32" s="358"/>
      <c r="E32" s="358"/>
      <c r="F32" s="358"/>
      <c r="G32" s="359"/>
    </row>
    <row r="33" spans="2:7" ht="14.25" customHeight="1" x14ac:dyDescent="0.15">
      <c r="B33" s="152"/>
      <c r="C33" s="643">
        <v>3</v>
      </c>
      <c r="D33" s="644" t="s">
        <v>301</v>
      </c>
      <c r="E33" s="640" t="s">
        <v>70</v>
      </c>
      <c r="F33" s="640"/>
      <c r="G33" s="150"/>
    </row>
    <row r="34" spans="2:7" ht="23.25" customHeight="1" x14ac:dyDescent="0.15">
      <c r="B34" s="152"/>
      <c r="C34" s="643"/>
      <c r="D34" s="644"/>
      <c r="E34" s="164" t="s">
        <v>71</v>
      </c>
      <c r="F34" s="241" t="s">
        <v>429</v>
      </c>
      <c r="G34" s="150"/>
    </row>
    <row r="35" spans="2:7" ht="35.25" customHeight="1" x14ac:dyDescent="0.15">
      <c r="B35" s="152"/>
      <c r="C35" s="643"/>
      <c r="D35" s="644"/>
      <c r="E35" s="164" t="s">
        <v>72</v>
      </c>
      <c r="F35" s="242" t="s">
        <v>465</v>
      </c>
      <c r="G35" s="150"/>
    </row>
    <row r="36" spans="2:7" ht="35.25" customHeight="1" x14ac:dyDescent="0.15">
      <c r="B36" s="152"/>
      <c r="C36" s="643"/>
      <c r="D36" s="644"/>
      <c r="E36" s="164" t="s">
        <v>73</v>
      </c>
      <c r="F36" s="242" t="s">
        <v>466</v>
      </c>
      <c r="G36" s="150"/>
    </row>
    <row r="37" spans="2:7" ht="35.25" customHeight="1" x14ac:dyDescent="0.15">
      <c r="B37" s="152"/>
      <c r="C37" s="643"/>
      <c r="D37" s="644"/>
      <c r="E37" s="164" t="s">
        <v>74</v>
      </c>
      <c r="F37" s="242" t="s">
        <v>428</v>
      </c>
      <c r="G37" s="150"/>
    </row>
    <row r="38" spans="2:7" ht="35.25" customHeight="1" x14ac:dyDescent="0.15">
      <c r="B38" s="152"/>
      <c r="C38" s="643"/>
      <c r="D38" s="644"/>
      <c r="E38" s="164" t="s">
        <v>75</v>
      </c>
      <c r="F38" s="241" t="s">
        <v>426</v>
      </c>
      <c r="G38" s="150"/>
    </row>
    <row r="39" spans="2:7" ht="0.75" customHeight="1" x14ac:dyDescent="0.15">
      <c r="B39" s="356"/>
      <c r="C39" s="357"/>
      <c r="D39" s="358"/>
      <c r="E39" s="358"/>
      <c r="F39" s="358"/>
      <c r="G39" s="359"/>
    </row>
    <row r="40" spans="2:7" ht="14.25" customHeight="1" x14ac:dyDescent="0.15">
      <c r="B40" s="152"/>
      <c r="C40" s="650">
        <v>4</v>
      </c>
      <c r="D40" s="649" t="s">
        <v>50</v>
      </c>
      <c r="E40" s="639" t="s">
        <v>70</v>
      </c>
      <c r="F40" s="639"/>
      <c r="G40" s="151"/>
    </row>
    <row r="41" spans="2:7" ht="22.5" customHeight="1" x14ac:dyDescent="0.15">
      <c r="B41" s="152"/>
      <c r="C41" s="650"/>
      <c r="D41" s="649"/>
      <c r="E41" s="163" t="s">
        <v>71</v>
      </c>
      <c r="F41" s="161" t="s">
        <v>125</v>
      </c>
      <c r="G41" s="151"/>
    </row>
    <row r="42" spans="2:7" ht="21" x14ac:dyDescent="0.15">
      <c r="B42" s="152"/>
      <c r="C42" s="650"/>
      <c r="D42" s="649"/>
      <c r="E42" s="163" t="s">
        <v>72</v>
      </c>
      <c r="F42" s="161" t="s">
        <v>126</v>
      </c>
      <c r="G42" s="151"/>
    </row>
    <row r="43" spans="2:7" ht="0.75" customHeight="1" x14ac:dyDescent="0.15">
      <c r="B43" s="356"/>
      <c r="C43" s="357"/>
      <c r="D43" s="358"/>
      <c r="E43" s="358"/>
      <c r="F43" s="358"/>
      <c r="G43" s="359"/>
    </row>
    <row r="44" spans="2:7" ht="14.25" customHeight="1" x14ac:dyDescent="0.15">
      <c r="B44" s="152"/>
      <c r="C44" s="643">
        <v>5</v>
      </c>
      <c r="D44" s="644" t="s">
        <v>161</v>
      </c>
      <c r="E44" s="382" t="s">
        <v>70</v>
      </c>
      <c r="F44" s="364"/>
      <c r="G44" s="150"/>
    </row>
    <row r="45" spans="2:7" ht="22.5" customHeight="1" x14ac:dyDescent="0.15">
      <c r="B45" s="152"/>
      <c r="C45" s="643"/>
      <c r="D45" s="644"/>
      <c r="E45" s="164" t="s">
        <v>71</v>
      </c>
      <c r="F45" s="243" t="s">
        <v>410</v>
      </c>
      <c r="G45" s="150"/>
    </row>
    <row r="46" spans="2:7" ht="24" customHeight="1" x14ac:dyDescent="0.15">
      <c r="B46" s="152"/>
      <c r="C46" s="643"/>
      <c r="D46" s="644"/>
      <c r="E46" s="164" t="s">
        <v>72</v>
      </c>
      <c r="F46" s="243" t="s">
        <v>411</v>
      </c>
      <c r="G46" s="150"/>
    </row>
    <row r="47" spans="2:7" ht="22.5" customHeight="1" x14ac:dyDescent="0.15">
      <c r="B47" s="152"/>
      <c r="C47" s="643"/>
      <c r="D47" s="644"/>
      <c r="E47" s="164" t="s">
        <v>345</v>
      </c>
      <c r="F47" s="242" t="s">
        <v>346</v>
      </c>
      <c r="G47" s="150"/>
    </row>
    <row r="48" spans="2:7" ht="17.25" customHeight="1" x14ac:dyDescent="0.15">
      <c r="B48" s="152"/>
      <c r="C48" s="643"/>
      <c r="D48" s="644"/>
      <c r="E48" s="164" t="s">
        <v>74</v>
      </c>
      <c r="F48" s="241" t="s">
        <v>202</v>
      </c>
      <c r="G48" s="150"/>
    </row>
    <row r="49" spans="2:7" ht="0.75" customHeight="1" x14ac:dyDescent="0.15">
      <c r="B49" s="356"/>
      <c r="C49" s="357"/>
      <c r="D49" s="358"/>
      <c r="E49" s="358"/>
      <c r="F49" s="358"/>
      <c r="G49" s="359"/>
    </row>
    <row r="50" spans="2:7" ht="35.25" customHeight="1" x14ac:dyDescent="0.15">
      <c r="B50" s="152"/>
      <c r="C50" s="245">
        <v>6</v>
      </c>
      <c r="D50" s="246" t="s">
        <v>51</v>
      </c>
      <c r="E50" s="641" t="s">
        <v>89</v>
      </c>
      <c r="F50" s="641"/>
      <c r="G50" s="150"/>
    </row>
    <row r="51" spans="2:7" ht="0.75" customHeight="1" x14ac:dyDescent="0.15">
      <c r="B51" s="356"/>
      <c r="C51" s="357"/>
      <c r="D51" s="358"/>
      <c r="E51" s="358"/>
      <c r="F51" s="358"/>
      <c r="G51" s="359"/>
    </row>
    <row r="52" spans="2:7" ht="47.25" customHeight="1" x14ac:dyDescent="0.15">
      <c r="B52" s="152"/>
      <c r="C52" s="643">
        <v>7</v>
      </c>
      <c r="D52" s="244" t="s">
        <v>347</v>
      </c>
      <c r="E52" s="638" t="s">
        <v>467</v>
      </c>
      <c r="F52" s="638"/>
      <c r="G52" s="150"/>
    </row>
    <row r="53" spans="2:7" ht="42" customHeight="1" x14ac:dyDescent="0.15">
      <c r="B53" s="152"/>
      <c r="C53" s="651">
        <v>7</v>
      </c>
      <c r="D53" s="244" t="s">
        <v>452</v>
      </c>
      <c r="E53" s="637" t="s">
        <v>453</v>
      </c>
      <c r="F53" s="637"/>
      <c r="G53" s="150"/>
    </row>
    <row r="54" spans="2:7" ht="0.75" customHeight="1" x14ac:dyDescent="0.15">
      <c r="B54" s="356"/>
      <c r="C54" s="357"/>
      <c r="D54" s="358"/>
      <c r="E54" s="358"/>
      <c r="F54" s="358"/>
      <c r="G54" s="359"/>
    </row>
    <row r="55" spans="2:7" ht="36" customHeight="1" x14ac:dyDescent="0.15">
      <c r="B55" s="152"/>
      <c r="C55" s="245">
        <v>8</v>
      </c>
      <c r="D55" s="246" t="s">
        <v>52</v>
      </c>
      <c r="E55" s="641" t="s">
        <v>83</v>
      </c>
      <c r="F55" s="641" t="s">
        <v>60</v>
      </c>
      <c r="G55" s="151"/>
    </row>
    <row r="56" spans="2:7" ht="0.75" customHeight="1" x14ac:dyDescent="0.15">
      <c r="B56" s="356"/>
      <c r="C56" s="357"/>
      <c r="D56" s="358"/>
      <c r="E56" s="358"/>
      <c r="F56" s="358"/>
      <c r="G56" s="359"/>
    </row>
    <row r="57" spans="2:7" ht="45" customHeight="1" x14ac:dyDescent="0.15">
      <c r="B57" s="152"/>
      <c r="C57" s="643">
        <v>9</v>
      </c>
      <c r="D57" s="244" t="s">
        <v>53</v>
      </c>
      <c r="E57" s="638" t="s">
        <v>195</v>
      </c>
      <c r="F57" s="638"/>
      <c r="G57" s="150"/>
    </row>
    <row r="58" spans="2:7" ht="60" customHeight="1" x14ac:dyDescent="0.15">
      <c r="B58" s="152"/>
      <c r="C58" s="651"/>
      <c r="D58" s="244" t="s">
        <v>54</v>
      </c>
      <c r="E58" s="637" t="s">
        <v>421</v>
      </c>
      <c r="F58" s="637"/>
      <c r="G58" s="150"/>
    </row>
    <row r="59" spans="2:7" ht="0.75" customHeight="1" x14ac:dyDescent="0.15">
      <c r="B59" s="356"/>
      <c r="C59" s="357"/>
      <c r="D59" s="358"/>
      <c r="E59" s="358"/>
      <c r="F59" s="358"/>
      <c r="G59" s="359"/>
    </row>
    <row r="60" spans="2:7" ht="30" customHeight="1" x14ac:dyDescent="0.15">
      <c r="B60" s="152"/>
      <c r="C60" s="245">
        <v>10</v>
      </c>
      <c r="D60" s="246" t="s">
        <v>68</v>
      </c>
      <c r="E60" s="641" t="s">
        <v>78</v>
      </c>
      <c r="F60" s="641"/>
      <c r="G60" s="150"/>
    </row>
    <row r="61" spans="2:7" ht="0.75" customHeight="1" x14ac:dyDescent="0.15">
      <c r="B61" s="356"/>
      <c r="C61" s="357"/>
      <c r="D61" s="358"/>
      <c r="E61" s="358"/>
      <c r="F61" s="358"/>
      <c r="G61" s="359"/>
    </row>
    <row r="62" spans="2:7" ht="29.25" customHeight="1" x14ac:dyDescent="0.15">
      <c r="B62" s="152"/>
      <c r="C62" s="643">
        <v>11</v>
      </c>
      <c r="D62" s="244" t="s">
        <v>69</v>
      </c>
      <c r="E62" s="638" t="s">
        <v>79</v>
      </c>
      <c r="F62" s="638"/>
      <c r="G62" s="150"/>
    </row>
    <row r="63" spans="2:7" ht="38.25" customHeight="1" x14ac:dyDescent="0.15">
      <c r="B63" s="152"/>
      <c r="C63" s="651"/>
      <c r="D63" s="244" t="s">
        <v>55</v>
      </c>
      <c r="E63" s="637" t="s">
        <v>80</v>
      </c>
      <c r="F63" s="637"/>
      <c r="G63" s="150"/>
    </row>
    <row r="64" spans="2:7" ht="0.75" customHeight="1" x14ac:dyDescent="0.15">
      <c r="B64" s="356"/>
      <c r="C64" s="357"/>
      <c r="D64" s="358"/>
      <c r="E64" s="358"/>
      <c r="F64" s="358"/>
      <c r="G64" s="359"/>
    </row>
    <row r="65" spans="2:7" ht="45" customHeight="1" x14ac:dyDescent="0.15">
      <c r="B65" s="152"/>
      <c r="C65" s="245">
        <v>12</v>
      </c>
      <c r="D65" s="246" t="s">
        <v>56</v>
      </c>
      <c r="E65" s="641" t="s">
        <v>422</v>
      </c>
      <c r="F65" s="641"/>
      <c r="G65" s="150"/>
    </row>
    <row r="66" spans="2:7" ht="0.75" customHeight="1" x14ac:dyDescent="0.15">
      <c r="B66" s="356"/>
      <c r="C66" s="357"/>
      <c r="D66" s="358"/>
      <c r="E66" s="358"/>
      <c r="F66" s="358"/>
      <c r="G66" s="359"/>
    </row>
    <row r="67" spans="2:7" ht="45.75" customHeight="1" x14ac:dyDescent="0.15">
      <c r="B67" s="152"/>
      <c r="C67" s="643">
        <v>13</v>
      </c>
      <c r="D67" s="244" t="s">
        <v>57</v>
      </c>
      <c r="E67" s="638" t="s">
        <v>423</v>
      </c>
      <c r="F67" s="638"/>
      <c r="G67" s="150"/>
    </row>
    <row r="68" spans="2:7" ht="45.75" customHeight="1" x14ac:dyDescent="0.15">
      <c r="B68" s="152"/>
      <c r="C68" s="651"/>
      <c r="D68" s="244" t="s">
        <v>58</v>
      </c>
      <c r="E68" s="642" t="s">
        <v>424</v>
      </c>
      <c r="F68" s="642"/>
      <c r="G68" s="150"/>
    </row>
    <row r="69" spans="2:7" ht="0.75" customHeight="1" x14ac:dyDescent="0.15">
      <c r="B69" s="356"/>
      <c r="C69" s="357"/>
      <c r="D69" s="358"/>
      <c r="E69" s="358"/>
      <c r="F69" s="358"/>
      <c r="G69" s="359"/>
    </row>
    <row r="70" spans="2:7" ht="47.25" customHeight="1" x14ac:dyDescent="0.15">
      <c r="B70" s="152"/>
      <c r="C70" s="245">
        <v>14</v>
      </c>
      <c r="D70" s="246" t="s">
        <v>59</v>
      </c>
      <c r="E70" s="641" t="s">
        <v>415</v>
      </c>
      <c r="F70" s="641"/>
      <c r="G70" s="150"/>
    </row>
    <row r="71" spans="2:7" ht="0.75" customHeight="1" x14ac:dyDescent="0.15">
      <c r="B71" s="356"/>
      <c r="C71" s="357"/>
      <c r="D71" s="358"/>
      <c r="E71" s="358"/>
      <c r="F71" s="358"/>
      <c r="G71" s="359"/>
    </row>
    <row r="72" spans="2:7" ht="43.5" customHeight="1" x14ac:dyDescent="0.15">
      <c r="B72" s="152"/>
      <c r="C72" s="643">
        <v>15</v>
      </c>
      <c r="D72" s="644" t="s">
        <v>123</v>
      </c>
      <c r="E72" s="640" t="s">
        <v>468</v>
      </c>
      <c r="F72" s="640" t="s">
        <v>77</v>
      </c>
      <c r="G72" s="150"/>
    </row>
    <row r="73" spans="2:7" ht="33.75" customHeight="1" x14ac:dyDescent="0.15">
      <c r="B73" s="152"/>
      <c r="C73" s="643"/>
      <c r="D73" s="644"/>
      <c r="E73" s="164" t="s">
        <v>71</v>
      </c>
      <c r="F73" s="162" t="s">
        <v>469</v>
      </c>
      <c r="G73" s="150"/>
    </row>
    <row r="74" spans="2:7" ht="65.25" customHeight="1" x14ac:dyDescent="0.15">
      <c r="B74" s="152"/>
      <c r="C74" s="643"/>
      <c r="D74" s="644"/>
      <c r="E74" s="164" t="s">
        <v>72</v>
      </c>
      <c r="F74" s="243" t="s">
        <v>470</v>
      </c>
      <c r="G74" s="150"/>
    </row>
    <row r="75" spans="2:7" ht="22.5" customHeight="1" x14ac:dyDescent="0.15">
      <c r="B75" s="152"/>
      <c r="C75" s="643"/>
      <c r="D75" s="644"/>
      <c r="E75" s="164">
        <v>3</v>
      </c>
      <c r="F75" s="384" t="s">
        <v>471</v>
      </c>
      <c r="G75" s="150"/>
    </row>
    <row r="76" spans="2:7" ht="27.75" customHeight="1" x14ac:dyDescent="0.15">
      <c r="B76" s="188"/>
      <c r="C76" s="194" t="s">
        <v>268</v>
      </c>
      <c r="D76" s="195"/>
      <c r="E76" s="195"/>
      <c r="F76" s="202" t="s">
        <v>187</v>
      </c>
      <c r="G76" s="190"/>
    </row>
  </sheetData>
  <sheetProtection algorithmName="SHA-512" hashValue="AeKaJMktlCd0cqm8VVs5Cos6RjR9TXGVrkHGnoe3fq5onZdTOpPWonQI9/OwXtcmeo7xXS8F/IaxkVMTar3NtQ==" saltValue="D7s6CGxUyu4sB4fUOXquzg==" spinCount="100000" sheet="1" objects="1" scenarios="1" selectLockedCells="1" selectUnlockedCells="1"/>
  <mergeCells count="39">
    <mergeCell ref="C72:C75"/>
    <mergeCell ref="D72:D75"/>
    <mergeCell ref="C62:C63"/>
    <mergeCell ref="C67:C68"/>
    <mergeCell ref="C40:C42"/>
    <mergeCell ref="D40:D42"/>
    <mergeCell ref="C44:C48"/>
    <mergeCell ref="D44:D48"/>
    <mergeCell ref="C57:C58"/>
    <mergeCell ref="C52:C53"/>
    <mergeCell ref="C33:C38"/>
    <mergeCell ref="D33:D38"/>
    <mergeCell ref="E33:F33"/>
    <mergeCell ref="E9:F9"/>
    <mergeCell ref="E3:F3"/>
    <mergeCell ref="E4:F4"/>
    <mergeCell ref="E5:F5"/>
    <mergeCell ref="E6:F6"/>
    <mergeCell ref="E7:F7"/>
    <mergeCell ref="C10:C20"/>
    <mergeCell ref="D22:D31"/>
    <mergeCell ref="D10:D20"/>
    <mergeCell ref="C22:C31"/>
    <mergeCell ref="E22:F22"/>
    <mergeCell ref="E63:F63"/>
    <mergeCell ref="E62:F62"/>
    <mergeCell ref="E40:F40"/>
    <mergeCell ref="E72:F72"/>
    <mergeCell ref="E70:F70"/>
    <mergeCell ref="E68:F68"/>
    <mergeCell ref="E67:F67"/>
    <mergeCell ref="E65:F65"/>
    <mergeCell ref="E60:F60"/>
    <mergeCell ref="E50:F50"/>
    <mergeCell ref="E57:F57"/>
    <mergeCell ref="E58:F58"/>
    <mergeCell ref="E55:F55"/>
    <mergeCell ref="E53:F53"/>
    <mergeCell ref="E52:F52"/>
  </mergeCells>
  <phoneticPr fontId="3" type="noConversion"/>
  <printOptions gridLines="1"/>
  <pageMargins left="0.70866141732283472" right="0.70866141732283472" top="0.39370078740157483" bottom="0.74803149606299213" header="0.31496062992125984" footer="0.31496062992125984"/>
  <pageSetup paperSize="9" scale="85" fitToHeight="0" orientation="portrait" blackAndWhite="1" r:id="rId1"/>
  <headerFooter>
    <oddFooter>&amp;LData wydruku: &amp;D, &amp;T&amp;RStrona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>
    <tabColor rgb="FF333333"/>
  </sheetPr>
  <dimension ref="B1:Q121"/>
  <sheetViews>
    <sheetView zoomScaleNormal="100" workbookViewId="0">
      <selection activeCell="D5" sqref="D5:E5"/>
    </sheetView>
  </sheetViews>
  <sheetFormatPr defaultColWidth="9.33203125" defaultRowHeight="14.25" customHeight="1" x14ac:dyDescent="0.15"/>
  <cols>
    <col min="1" max="1" width="1.83203125" style="1" customWidth="1"/>
    <col min="2" max="2" width="5.83203125" style="1" customWidth="1"/>
    <col min="3" max="3" width="29.1640625" style="1" customWidth="1"/>
    <col min="4" max="4" width="5.1640625" style="1" customWidth="1"/>
    <col min="5" max="5" width="14.1640625" style="1" customWidth="1"/>
    <col min="6" max="6" width="16.83203125" style="1" customWidth="1"/>
    <col min="7" max="7" width="15.1640625" style="1" bestFit="1" customWidth="1"/>
    <col min="8" max="8" width="15.33203125" style="1" customWidth="1"/>
    <col min="9" max="9" width="8.33203125" style="1" customWidth="1"/>
    <col min="10" max="10" width="12.1640625" style="1" bestFit="1" customWidth="1"/>
    <col min="11" max="11" width="14.6640625" style="1" customWidth="1"/>
    <col min="12" max="12" width="10.6640625" style="1" bestFit="1" customWidth="1"/>
    <col min="13" max="13" width="8.33203125" style="1" bestFit="1" customWidth="1"/>
    <col min="14" max="14" width="8.5" style="1" bestFit="1" customWidth="1"/>
    <col min="15" max="15" width="11" style="1" customWidth="1"/>
    <col min="16" max="16" width="22.1640625" style="1" bestFit="1" customWidth="1"/>
    <col min="17" max="16384" width="9.33203125" style="1"/>
  </cols>
  <sheetData>
    <row r="1" spans="3:15" ht="7.5" customHeight="1" x14ac:dyDescent="0.15"/>
    <row r="2" spans="3:15" ht="17.25" customHeight="1" x14ac:dyDescent="0.15">
      <c r="C2" s="49" t="s">
        <v>7</v>
      </c>
      <c r="D2" s="666" t="s">
        <v>372</v>
      </c>
      <c r="E2" s="666"/>
    </row>
    <row r="3" spans="3:15" ht="12.75" customHeight="1" x14ac:dyDescent="0.15">
      <c r="C3" s="39" t="s">
        <v>184</v>
      </c>
      <c r="D3" s="655" t="s">
        <v>474</v>
      </c>
      <c r="E3" s="657"/>
    </row>
    <row r="4" spans="3:15" ht="12.75" customHeight="1" x14ac:dyDescent="0.15">
      <c r="C4" s="39" t="s">
        <v>185</v>
      </c>
      <c r="D4" s="655" t="s">
        <v>475</v>
      </c>
      <c r="E4" s="657"/>
    </row>
    <row r="5" spans="3:15" ht="12.75" customHeight="1" x14ac:dyDescent="0.15">
      <c r="C5" s="40" t="s">
        <v>208</v>
      </c>
      <c r="D5" s="667">
        <v>45287</v>
      </c>
      <c r="E5" s="668"/>
    </row>
    <row r="6" spans="3:15" ht="12.75" customHeight="1" x14ac:dyDescent="0.15">
      <c r="C6" s="40" t="s">
        <v>8</v>
      </c>
      <c r="D6" s="669">
        <v>4</v>
      </c>
      <c r="E6" s="670"/>
    </row>
    <row r="7" spans="3:15" ht="12.75" customHeight="1" x14ac:dyDescent="0.15">
      <c r="C7" s="40" t="s">
        <v>9</v>
      </c>
      <c r="D7" s="669">
        <v>6</v>
      </c>
      <c r="E7" s="670"/>
    </row>
    <row r="8" spans="3:15" ht="8.25" customHeight="1" x14ac:dyDescent="0.15"/>
    <row r="9" spans="3:15" ht="17.25" customHeight="1" x14ac:dyDescent="0.15">
      <c r="C9" s="49" t="s">
        <v>0</v>
      </c>
      <c r="D9" s="49" t="s">
        <v>6</v>
      </c>
      <c r="E9" s="662" t="s">
        <v>108</v>
      </c>
      <c r="F9" s="663"/>
      <c r="G9" s="662" t="s">
        <v>265</v>
      </c>
      <c r="H9" s="672"/>
      <c r="I9" s="663"/>
      <c r="K9" s="49" t="s">
        <v>290</v>
      </c>
      <c r="L9" s="49" t="s">
        <v>6</v>
      </c>
      <c r="N9" s="49" t="s">
        <v>312</v>
      </c>
      <c r="O9" s="49"/>
    </row>
    <row r="10" spans="3:15" ht="12.75" customHeight="1" x14ac:dyDescent="0.15">
      <c r="C10" s="40" t="s">
        <v>93</v>
      </c>
      <c r="D10" s="43">
        <v>0</v>
      </c>
      <c r="E10" s="671" t="s">
        <v>189</v>
      </c>
      <c r="F10" s="671"/>
      <c r="G10" s="671" t="s">
        <v>264</v>
      </c>
      <c r="H10" s="671"/>
      <c r="I10" s="671"/>
      <c r="K10" s="39" t="s">
        <v>302</v>
      </c>
      <c r="L10" s="48">
        <v>1</v>
      </c>
      <c r="N10" s="48" t="s">
        <v>432</v>
      </c>
      <c r="O10" s="48"/>
    </row>
    <row r="11" spans="3:15" ht="12.75" customHeight="1" x14ac:dyDescent="0.15">
      <c r="C11" s="40" t="s">
        <v>1</v>
      </c>
      <c r="D11" s="43">
        <v>1</v>
      </c>
      <c r="E11" s="671" t="s">
        <v>189</v>
      </c>
      <c r="F11" s="671"/>
      <c r="G11" s="671" t="s">
        <v>264</v>
      </c>
      <c r="H11" s="671"/>
      <c r="I11" s="671"/>
      <c r="K11" s="40" t="s">
        <v>291</v>
      </c>
      <c r="L11" s="48">
        <v>2</v>
      </c>
      <c r="N11" s="48" t="s">
        <v>433</v>
      </c>
      <c r="O11" s="48"/>
    </row>
    <row r="12" spans="3:15" ht="12.75" customHeight="1" x14ac:dyDescent="0.15">
      <c r="C12" s="40" t="s">
        <v>2</v>
      </c>
      <c r="D12" s="43">
        <v>2</v>
      </c>
      <c r="E12" s="671" t="s">
        <v>190</v>
      </c>
      <c r="F12" s="671"/>
      <c r="G12" s="671" t="s">
        <v>277</v>
      </c>
      <c r="H12" s="671"/>
      <c r="I12" s="671"/>
      <c r="K12" s="40" t="s">
        <v>303</v>
      </c>
      <c r="L12" s="48">
        <v>3</v>
      </c>
      <c r="N12" s="48" t="s">
        <v>434</v>
      </c>
      <c r="O12" s="48"/>
    </row>
    <row r="13" spans="3:15" ht="12.75" customHeight="1" x14ac:dyDescent="0.15">
      <c r="C13" s="40" t="s">
        <v>3</v>
      </c>
      <c r="D13" s="43">
        <v>3</v>
      </c>
      <c r="E13" s="671" t="s">
        <v>191</v>
      </c>
      <c r="F13" s="671"/>
      <c r="G13" s="671" t="s">
        <v>266</v>
      </c>
      <c r="H13" s="671"/>
      <c r="I13" s="671"/>
      <c r="K13" s="40" t="s">
        <v>289</v>
      </c>
      <c r="L13" s="48">
        <v>4</v>
      </c>
      <c r="N13" s="48" t="s">
        <v>437</v>
      </c>
      <c r="O13" s="48"/>
    </row>
    <row r="14" spans="3:15" ht="12.75" customHeight="1" x14ac:dyDescent="0.15">
      <c r="C14" s="40" t="s">
        <v>4</v>
      </c>
      <c r="D14" s="43">
        <v>4</v>
      </c>
      <c r="E14" s="671" t="s">
        <v>192</v>
      </c>
      <c r="F14" s="671"/>
      <c r="G14" s="671" t="s">
        <v>277</v>
      </c>
      <c r="H14" s="671"/>
      <c r="I14" s="671"/>
      <c r="K14" s="40" t="s">
        <v>398</v>
      </c>
      <c r="L14" s="48">
        <v>5</v>
      </c>
      <c r="N14" s="48" t="s">
        <v>438</v>
      </c>
      <c r="O14" s="48"/>
    </row>
    <row r="15" spans="3:15" ht="12.75" customHeight="1" x14ac:dyDescent="0.15">
      <c r="C15" s="40" t="s">
        <v>5</v>
      </c>
      <c r="D15" s="43">
        <v>5</v>
      </c>
      <c r="E15" s="671" t="s">
        <v>190</v>
      </c>
      <c r="F15" s="671"/>
      <c r="G15" s="671" t="s">
        <v>277</v>
      </c>
      <c r="H15" s="671"/>
      <c r="I15" s="671"/>
      <c r="K15" s="40" t="s">
        <v>399</v>
      </c>
      <c r="L15" s="48">
        <v>6</v>
      </c>
      <c r="N15" s="48" t="s">
        <v>457</v>
      </c>
      <c r="O15" s="48"/>
    </row>
    <row r="16" spans="3:15" ht="12.75" customHeight="1" x14ac:dyDescent="0.15">
      <c r="C16" s="40" t="s">
        <v>48</v>
      </c>
      <c r="D16" s="43">
        <v>6</v>
      </c>
      <c r="E16" s="671" t="s">
        <v>190</v>
      </c>
      <c r="F16" s="671"/>
      <c r="G16" s="671" t="s">
        <v>277</v>
      </c>
      <c r="H16" s="671"/>
      <c r="I16" s="671"/>
      <c r="N16" s="48" t="s">
        <v>476</v>
      </c>
      <c r="O16" s="48"/>
    </row>
    <row r="17" spans="2:17" ht="12.75" customHeight="1" x14ac:dyDescent="0.15">
      <c r="C17" s="40" t="s">
        <v>377</v>
      </c>
      <c r="D17" s="43">
        <v>7</v>
      </c>
      <c r="E17" s="671" t="s">
        <v>189</v>
      </c>
      <c r="F17" s="671"/>
      <c r="G17" s="671" t="s">
        <v>264</v>
      </c>
      <c r="H17" s="671"/>
      <c r="I17" s="671"/>
      <c r="N17" s="48" t="s">
        <v>477</v>
      </c>
      <c r="O17" s="48"/>
    </row>
    <row r="18" spans="2:17" ht="12.75" customHeight="1" x14ac:dyDescent="0.15">
      <c r="C18" s="40" t="s">
        <v>461</v>
      </c>
      <c r="D18" s="43">
        <v>8</v>
      </c>
      <c r="E18" s="671" t="s">
        <v>189</v>
      </c>
      <c r="F18" s="671"/>
      <c r="G18" s="671" t="s">
        <v>264</v>
      </c>
      <c r="H18" s="671"/>
      <c r="I18" s="671"/>
      <c r="N18" s="48" t="s">
        <v>436</v>
      </c>
      <c r="O18" s="48"/>
    </row>
    <row r="19" spans="2:17" ht="8.25" customHeight="1" x14ac:dyDescent="0.15"/>
    <row r="20" spans="2:17" ht="17.25" customHeight="1" x14ac:dyDescent="0.15">
      <c r="C20" s="49" t="s">
        <v>140</v>
      </c>
      <c r="D20" s="49" t="s">
        <v>6</v>
      </c>
      <c r="E20" s="49" t="s">
        <v>95</v>
      </c>
      <c r="F20" s="50" t="s">
        <v>186</v>
      </c>
      <c r="G20" s="50" t="s">
        <v>319</v>
      </c>
    </row>
    <row r="21" spans="2:17" ht="12.75" customHeight="1" x14ac:dyDescent="0.15">
      <c r="C21" s="39" t="s">
        <v>404</v>
      </c>
      <c r="D21" s="48">
        <v>1</v>
      </c>
      <c r="E21" s="46">
        <f>IFERROR(HLOOKUP(kod_produkt,Produkty!$C$3:$L$12,10,FALSE),0)</f>
        <v>0</v>
      </c>
      <c r="F21" s="44">
        <f>IFERROR(HLOOKUP(kod_produkt,Produkty!$C$3:$L$8,6,FALSE),0)</f>
        <v>0</v>
      </c>
      <c r="G21" s="45" t="e">
        <f ca="1">IF(wariant=0,HLOOKUP(kod_produkt,Produkty!$C$3:$L$37,35,FALSE),INDEX(maxOkres,MATCH(IF(wariant=1,"okres nowy "&amp;C21,"okres zmiana "&amp;C21),Produkty!$B$18:$B$25,0),MATCH(kod_produkt,Produkty!$C$3:$L$3,0)))</f>
        <v>#N/A</v>
      </c>
    </row>
    <row r="22" spans="2:17" ht="12.75" customHeight="1" x14ac:dyDescent="0.15">
      <c r="C22" s="40" t="s">
        <v>405</v>
      </c>
      <c r="D22" s="48">
        <v>2</v>
      </c>
      <c r="E22" s="46">
        <f>IFERROR(HLOOKUP(kod_produkt,Produkty!$C$3:$L$12,10,FALSE),0)</f>
        <v>0</v>
      </c>
      <c r="F22" s="44">
        <f>IFERROR(HLOOKUP(kod_produkt,Produkty!$C$3:$L$8,6,FALSE),0)</f>
        <v>0</v>
      </c>
      <c r="G22" s="45" t="e">
        <f ca="1">IF(wariant=0,HLOOKUP(kod_produkt,Produkty!$C$3:$L$37,35,FALSE),INDEX(maxOkres,MATCH(IF(wariant=1,"okres nowy "&amp;C22,"okres zmiana "&amp;C22),Produkty!$B$18:$B$25,0),MATCH(kod_produkt,Produkty!$C$3:$L$3,0)))</f>
        <v>#N/A</v>
      </c>
    </row>
    <row r="23" spans="2:17" ht="12.75" customHeight="1" x14ac:dyDescent="0.15">
      <c r="C23" s="40" t="s">
        <v>299</v>
      </c>
      <c r="D23" s="48">
        <v>2</v>
      </c>
      <c r="E23" s="46">
        <f>IFERROR(HLOOKUP(kod_produkt,Produkty!$C$3:$L$12,10,FALSE),0)</f>
        <v>0</v>
      </c>
      <c r="F23" s="44">
        <f>IFERROR(HLOOKUP(kod_produkt,Produkty!$C$3:$L$8,6,FALSE),0)</f>
        <v>0</v>
      </c>
      <c r="G23" s="45" t="e">
        <f ca="1">IF(wariant=0,HLOOKUP(kod_produkt,Produkty!$C$3:$L$37,35,FALSE),INDEX(maxOkres,MATCH(IF(wariant=1,"okres nowy "&amp;C23,"okres zmiana "&amp;C23),Produkty!$B$18:$B$25,0),MATCH(kod_produkt,Produkty!$C$3:$L$3,0)))</f>
        <v>#N/A</v>
      </c>
    </row>
    <row r="24" spans="2:17" ht="12.75" customHeight="1" x14ac:dyDescent="0.15">
      <c r="C24" s="40" t="s">
        <v>201</v>
      </c>
      <c r="D24" s="48">
        <f>D22</f>
        <v>2</v>
      </c>
      <c r="E24" s="46">
        <f>IFERROR(HLOOKUP(kod_produkt,Produkty!$C$3:$L$12,10,FALSE),0)</f>
        <v>0</v>
      </c>
      <c r="F24" s="44">
        <f>IFERROR(HLOOKUP(kod_produkt,Produkty!$C$3:$L$8,6,FALSE),0)</f>
        <v>0</v>
      </c>
      <c r="G24" s="45" t="e">
        <f ca="1">IF(wariant=0,HLOOKUP(kod_produkt,Produkty!$C$3:$L$37,35,FALSE),INDEX(maxOkres,MATCH(IF(wariant=1,"okres nowy "&amp;C24,"okres zmiana "&amp;C24),Produkty!$B$18:$B$25,0),MATCH(kod_produkt,Produkty!$C$3:$L$3,0)))</f>
        <v>#N/A</v>
      </c>
    </row>
    <row r="25" spans="2:17" ht="8.25" customHeight="1" x14ac:dyDescent="0.15"/>
    <row r="26" spans="2:17" ht="15.75" customHeight="1" x14ac:dyDescent="0.15">
      <c r="C26" s="664" t="s">
        <v>206</v>
      </c>
      <c r="D26" s="658" t="s">
        <v>6</v>
      </c>
      <c r="E26" s="658" t="s">
        <v>34</v>
      </c>
      <c r="F26" s="660" t="s">
        <v>12</v>
      </c>
      <c r="G26" s="661"/>
      <c r="H26" s="660" t="s">
        <v>13</v>
      </c>
      <c r="I26" s="661"/>
      <c r="J26" s="673" t="s">
        <v>350</v>
      </c>
      <c r="K26" s="307" t="s">
        <v>364</v>
      </c>
      <c r="L26" s="307" t="s">
        <v>365</v>
      </c>
      <c r="M26" s="307" t="s">
        <v>368</v>
      </c>
      <c r="N26" s="307" t="s">
        <v>369</v>
      </c>
      <c r="O26" s="308" t="str">
        <f>"prze-ob"</f>
        <v>prze-ob</v>
      </c>
      <c r="P26" s="307" t="s">
        <v>366</v>
      </c>
      <c r="Q26" s="307" t="s">
        <v>367</v>
      </c>
    </row>
    <row r="27" spans="2:17" ht="14.25" customHeight="1" x14ac:dyDescent="0.15">
      <c r="C27" s="665"/>
      <c r="D27" s="659" t="s">
        <v>6</v>
      </c>
      <c r="E27" s="659" t="s">
        <v>34</v>
      </c>
      <c r="F27" s="169" t="s">
        <v>18</v>
      </c>
      <c r="G27" s="169" t="s">
        <v>10</v>
      </c>
      <c r="H27" s="169" t="s">
        <v>18</v>
      </c>
      <c r="I27" s="169" t="s">
        <v>10</v>
      </c>
      <c r="J27" s="674"/>
      <c r="K27" s="309">
        <v>0</v>
      </c>
      <c r="L27" s="309">
        <v>1</v>
      </c>
      <c r="M27" s="309">
        <v>2</v>
      </c>
      <c r="N27" s="309">
        <v>3</v>
      </c>
      <c r="O27" s="309">
        <v>4</v>
      </c>
      <c r="P27" s="309">
        <v>5</v>
      </c>
      <c r="Q27" s="309">
        <v>6</v>
      </c>
    </row>
    <row r="28" spans="2:17" ht="12.75" customHeight="1" x14ac:dyDescent="0.15">
      <c r="C28" s="40" t="s">
        <v>35</v>
      </c>
      <c r="D28" s="43">
        <v>2</v>
      </c>
      <c r="E28" s="44">
        <v>100000</v>
      </c>
      <c r="F28" s="44">
        <v>750000</v>
      </c>
      <c r="G28" s="45">
        <v>60</v>
      </c>
      <c r="H28" s="44">
        <v>375000</v>
      </c>
      <c r="I28" s="45">
        <v>120</v>
      </c>
      <c r="J28" s="311" t="b">
        <f ca="1">OR(K28:Q28)</f>
        <v>0</v>
      </c>
      <c r="K28" s="310" t="b">
        <v>0</v>
      </c>
      <c r="L28" s="310" t="b">
        <f ca="1">AND(wariant=$L$27,OR(AND(Kalkulator!$BM$39&gt;F28,months&lt;=G28),AND(Kalkulator!$BM$39&gt;H28,months&gt;G28),months&gt;I28))</f>
        <v>0</v>
      </c>
      <c r="M28" s="310" t="b">
        <f ca="1">AND(wariant=$M$27,OR(AND(Kalkulator!$BM$39&gt;F28,months&lt;=G28),AND(Kalkulator!$BM$39&gt;H28,months&gt;G28),months&gt;I28))</f>
        <v>0</v>
      </c>
      <c r="N28" s="310" t="b">
        <f ca="1">AND(wariant=$N$27,OR(AND(Kalkulator!$BM$39&gt;F28,newMonths-months&lt;=G28),AND(Kalkulator!$BM$39&gt;H28,newMonths-months&gt;G28),newMonths-months&gt;I28))</f>
        <v>0</v>
      </c>
      <c r="O28" s="310" t="b">
        <f ca="1">AND(wariant=$O$27,OR(AND(Kalkulator!$BM$39&gt;F28,newMonths-months&lt;=G28),AND(Kalkulator!$BM$39&gt;H28,newMonths-months&gt;G28),newMonths-months&gt;I28))</f>
        <v>0</v>
      </c>
      <c r="P28" s="310" t="b">
        <f ca="1">AND(wariant=$P$27,OR(AND(Kalkulator!$BM$39&gt;F28,newMonths-months&lt;=G28),AND(Kalkulator!$BM$39&gt;H28,newMonths-months&gt;G28),newMonths-months&gt;I28))</f>
        <v>0</v>
      </c>
      <c r="Q28" s="310" t="b">
        <f ca="1">AND(wariant=$Q$27,OR(AND(Kalkulator!$BM$39&gt;F28,newMonths&lt;=G28),AND(Kalkulator!$BM$39&gt;H28,newMonths&gt;G28),newMonths&gt;I28))</f>
        <v>0</v>
      </c>
    </row>
    <row r="29" spans="2:17" ht="12.75" customHeight="1" x14ac:dyDescent="0.15">
      <c r="C29" s="40" t="s">
        <v>36</v>
      </c>
      <c r="D29" s="43">
        <v>1</v>
      </c>
      <c r="E29" s="44">
        <v>200000</v>
      </c>
      <c r="F29" s="44">
        <v>1500000</v>
      </c>
      <c r="G29" s="45">
        <v>60</v>
      </c>
      <c r="H29" s="44">
        <v>750000</v>
      </c>
      <c r="I29" s="45">
        <v>120</v>
      </c>
      <c r="J29" s="311" t="b">
        <f ca="1">OR(K29:Q29)</f>
        <v>0</v>
      </c>
      <c r="K29" s="310" t="b">
        <v>0</v>
      </c>
      <c r="L29" s="310" t="b">
        <f ca="1">AND(wariant=$L$27,OR(AND(Kalkulator!$BM$39&gt;F29,months&lt;=G29),AND(Kalkulator!$BM$39&gt;H29,months&gt;G29),months&gt;I29))</f>
        <v>0</v>
      </c>
      <c r="M29" s="310" t="b">
        <f ca="1">AND(wariant=$M$27,OR(AND(Kalkulator!$BM$39&gt;F29,months&lt;=G29),AND(Kalkulator!$BM$39&gt;H29,months&gt;G29),months&gt;I29))</f>
        <v>0</v>
      </c>
      <c r="N29" s="310" t="b">
        <f ca="1">AND(wariant=$N$27,OR(AND(Kalkulator!$BM$39&gt;F29,newMonths-months&lt;=G29),AND(Kalkulator!$BM$39&gt;H29,newMonths-months&gt;G29),newMonths-months&gt;I29))</f>
        <v>0</v>
      </c>
      <c r="O29" s="310" t="b">
        <f ca="1">AND(wariant=$O$27,OR(AND(Kalkulator!$BM$39&gt;F29,newMonths-months&lt;=G29),AND(Kalkulator!$BM$39&gt;H29,newMonths-months&gt;G29),newMonths-months&gt;I29))</f>
        <v>0</v>
      </c>
      <c r="P29" s="310" t="b">
        <f ca="1">AND(wariant=$P$27,OR(AND(Kalkulator!$BM$39&gt;F29,newMonths-months&lt;=G29),AND(Kalkulator!$BM$39&gt;H29,newMonths-months&gt;G29),newMonths-months&gt;I29))</f>
        <v>0</v>
      </c>
      <c r="Q29" s="310" t="b">
        <f ca="1">AND(wariant=$Q$27,OR(AND(Kalkulator!$BM$39&gt;F29,newMonths&lt;=G29),AND(Kalkulator!$BM$39&gt;H29,newMonths&gt;G29),newMonths&gt;I29))</f>
        <v>0</v>
      </c>
    </row>
    <row r="30" spans="2:17" ht="8.25" customHeight="1" x14ac:dyDescent="0.15"/>
    <row r="31" spans="2:17" ht="17.25" customHeight="1" x14ac:dyDescent="0.15">
      <c r="B31" s="662" t="s">
        <v>145</v>
      </c>
      <c r="C31" s="663"/>
      <c r="F31" s="49"/>
      <c r="G31" s="49" t="s">
        <v>349</v>
      </c>
      <c r="H31" s="49" t="s">
        <v>348</v>
      </c>
      <c r="K31" s="380" t="s">
        <v>235</v>
      </c>
      <c r="L31" s="380"/>
      <c r="M31" s="380"/>
      <c r="N31" s="380"/>
      <c r="O31" s="380"/>
      <c r="P31" s="380"/>
    </row>
    <row r="32" spans="2:17" ht="12.75" customHeight="1" x14ac:dyDescent="0.15">
      <c r="B32" s="41">
        <v>1</v>
      </c>
      <c r="C32" s="47" t="s">
        <v>146</v>
      </c>
      <c r="F32" s="39" t="s">
        <v>280</v>
      </c>
      <c r="G32" s="48">
        <v>1</v>
      </c>
      <c r="H32" s="48">
        <v>0</v>
      </c>
      <c r="K32" s="119" t="s">
        <v>229</v>
      </c>
      <c r="L32" s="119" t="s">
        <v>221</v>
      </c>
      <c r="M32" s="119" t="s">
        <v>236</v>
      </c>
      <c r="N32" s="119" t="s">
        <v>234</v>
      </c>
      <c r="O32" s="119" t="s">
        <v>343</v>
      </c>
      <c r="P32" s="120" t="s">
        <v>237</v>
      </c>
    </row>
    <row r="33" spans="2:16" ht="12.75" customHeight="1" x14ac:dyDescent="0.15">
      <c r="B33" s="41">
        <v>2</v>
      </c>
      <c r="C33" s="47" t="s">
        <v>147</v>
      </c>
      <c r="F33" s="40" t="s">
        <v>281</v>
      </c>
      <c r="G33" s="48">
        <v>0</v>
      </c>
      <c r="H33" s="48">
        <v>0</v>
      </c>
      <c r="K33" s="121">
        <v>1</v>
      </c>
      <c r="L33" s="122">
        <v>1</v>
      </c>
      <c r="M33" s="122">
        <f>DATE(YEAR(actStart),K33,L33)</f>
        <v>1</v>
      </c>
      <c r="N33" s="122">
        <f ca="1">DATE(YEAR(chgDate),K33,L33)</f>
        <v>45292</v>
      </c>
      <c r="O33" s="122">
        <f t="shared" ref="O33:O45" ca="1" si="0">DATE(YEAR(aidDate),K33,L33)</f>
        <v>45292</v>
      </c>
      <c r="P33" s="123" t="s">
        <v>238</v>
      </c>
    </row>
    <row r="34" spans="2:16" ht="12.75" customHeight="1" x14ac:dyDescent="0.15">
      <c r="B34" s="41">
        <v>3</v>
      </c>
      <c r="C34" s="47" t="s">
        <v>148</v>
      </c>
      <c r="F34" s="40" t="s">
        <v>282</v>
      </c>
      <c r="G34" s="257">
        <f ca="1">IF(OR(wariant=7,nr_pomoc=3,nr_pomoc=6,VLOOKUP(sektor,D28:J29,7,FALSE)),0,1)</f>
        <v>1</v>
      </c>
      <c r="H34" s="257">
        <f ca="1">IF(AND(NOT(VLOOKUP(sektor,D28:J29,7,FALSE)),nr_pomoc=5),0,1)</f>
        <v>1</v>
      </c>
      <c r="K34" s="124">
        <v>1</v>
      </c>
      <c r="L34" s="125">
        <v>6</v>
      </c>
      <c r="M34" s="125">
        <f>DATE(YEAR(actStart),K34,L34)</f>
        <v>6</v>
      </c>
      <c r="N34" s="125">
        <f ca="1">DATE(YEAR(chgDate),K34,L34)</f>
        <v>45297</v>
      </c>
      <c r="O34" s="125">
        <f t="shared" ca="1" si="0"/>
        <v>45297</v>
      </c>
      <c r="P34" s="126" t="s">
        <v>239</v>
      </c>
    </row>
    <row r="35" spans="2:16" ht="12.75" customHeight="1" x14ac:dyDescent="0.15">
      <c r="B35" s="41">
        <v>4</v>
      </c>
      <c r="C35" s="47" t="s">
        <v>149</v>
      </c>
      <c r="F35" s="40" t="s">
        <v>283</v>
      </c>
      <c r="G35" s="257">
        <f ca="1">IF(OR(wariant=7,nr_pomoc=6,VLOOKUP(sektor,D28:J29,7,FALSE)),0,1)</f>
        <v>1</v>
      </c>
      <c r="H35" s="257">
        <f ca="1">IF(AND(NOT(VLOOKUP(sektor,D28:J29,7,FALSE)),nr_pomoc=5),0,1)</f>
        <v>1</v>
      </c>
      <c r="K35" s="127"/>
      <c r="L35" s="128"/>
      <c r="M35" s="128">
        <f>Kalkulator!BU90</f>
        <v>106</v>
      </c>
      <c r="N35" s="128">
        <f ca="1">Kalkulator!BU91</f>
        <v>45382</v>
      </c>
      <c r="O35" s="128">
        <f t="shared" ca="1" si="0"/>
        <v>45260</v>
      </c>
      <c r="P35" s="129" t="s">
        <v>240</v>
      </c>
    </row>
    <row r="36" spans="2:16" ht="12.75" customHeight="1" x14ac:dyDescent="0.15">
      <c r="B36" s="41">
        <v>5</v>
      </c>
      <c r="C36" s="47" t="s">
        <v>150</v>
      </c>
      <c r="F36" s="40" t="s">
        <v>284</v>
      </c>
      <c r="G36" s="48">
        <v>1</v>
      </c>
      <c r="H36" s="48">
        <v>0</v>
      </c>
      <c r="K36" s="127"/>
      <c r="L36" s="128"/>
      <c r="M36" s="128">
        <f>+M35+1</f>
        <v>107</v>
      </c>
      <c r="N36" s="128">
        <f ca="1">+N35+1</f>
        <v>45383</v>
      </c>
      <c r="O36" s="128">
        <f t="shared" ca="1" si="0"/>
        <v>45260</v>
      </c>
      <c r="P36" s="129" t="s">
        <v>241</v>
      </c>
    </row>
    <row r="37" spans="2:16" ht="12.75" customHeight="1" x14ac:dyDescent="0.15">
      <c r="B37" s="41">
        <v>6</v>
      </c>
      <c r="C37" s="47" t="s">
        <v>151</v>
      </c>
      <c r="F37" s="40" t="s">
        <v>458</v>
      </c>
      <c r="G37" s="48">
        <v>1</v>
      </c>
      <c r="H37" s="48">
        <v>0</v>
      </c>
      <c r="K37" s="124">
        <v>5</v>
      </c>
      <c r="L37" s="125">
        <v>1</v>
      </c>
      <c r="M37" s="125">
        <f>DATE(YEAR(actStart),K37,L37)</f>
        <v>122</v>
      </c>
      <c r="N37" s="125">
        <f ca="1">DATE(YEAR(chgDate),K37,L37)</f>
        <v>45413</v>
      </c>
      <c r="O37" s="125">
        <f t="shared" ca="1" si="0"/>
        <v>45413</v>
      </c>
      <c r="P37" s="126" t="s">
        <v>242</v>
      </c>
    </row>
    <row r="38" spans="2:16" ht="12.75" customHeight="1" x14ac:dyDescent="0.15">
      <c r="B38" s="41">
        <v>7</v>
      </c>
      <c r="C38" s="47" t="s">
        <v>152</v>
      </c>
      <c r="F38" s="40" t="s">
        <v>285</v>
      </c>
      <c r="G38" s="257">
        <f ca="1">IF(AND(kod_produkt="FGR_10",nr_pomoc=1),1,0)</f>
        <v>0</v>
      </c>
      <c r="H38" s="257">
        <f ca="1">IF(AND(kod_produkt="FGR_10",nr_pomoc=2),1,0)</f>
        <v>0</v>
      </c>
      <c r="K38" s="124">
        <v>5</v>
      </c>
      <c r="L38" s="125">
        <v>3</v>
      </c>
      <c r="M38" s="125">
        <f>DATE(YEAR(actStart),K38,L38)</f>
        <v>124</v>
      </c>
      <c r="N38" s="125">
        <f ca="1">DATE(YEAR(chgDate),K38,L38)</f>
        <v>45415</v>
      </c>
      <c r="O38" s="125">
        <f t="shared" ca="1" si="0"/>
        <v>45415</v>
      </c>
      <c r="P38" s="126" t="s">
        <v>243</v>
      </c>
    </row>
    <row r="39" spans="2:16" ht="12.75" customHeight="1" x14ac:dyDescent="0.15">
      <c r="B39" s="41">
        <v>8</v>
      </c>
      <c r="C39" s="47" t="s">
        <v>153</v>
      </c>
      <c r="F39" s="40" t="s">
        <v>473</v>
      </c>
      <c r="G39" s="257">
        <f ca="1">IF(OR(wariant=7,nr_pomoc=3,nr_pomoc=6,VLOOKUP(sektor,D28:J29,7,FALSE)),0,1)</f>
        <v>1</v>
      </c>
      <c r="H39" s="257">
        <f ca="1">IF(AND(NOT(VLOOKUP(sektor,D28:J29,7,FALSE)),nr_pomoc=5),0,1)</f>
        <v>1</v>
      </c>
      <c r="K39" s="127"/>
      <c r="L39" s="128"/>
      <c r="M39" s="128">
        <f>+M35+49</f>
        <v>155</v>
      </c>
      <c r="N39" s="128">
        <f ca="1">+N35+49</f>
        <v>45431</v>
      </c>
      <c r="O39" s="128">
        <f t="shared" ca="1" si="0"/>
        <v>45260</v>
      </c>
      <c r="P39" s="129" t="s">
        <v>244</v>
      </c>
    </row>
    <row r="40" spans="2:16" ht="12.75" customHeight="1" x14ac:dyDescent="0.15">
      <c r="B40" s="41">
        <v>9</v>
      </c>
      <c r="C40" s="47" t="s">
        <v>154</v>
      </c>
      <c r="F40" s="40" t="s">
        <v>478</v>
      </c>
      <c r="G40" s="257">
        <f ca="1">IF(OR(wariant=7,nr_pomoc=3,nr_pomoc=6,VLOOKUP(sektor,D28:J29,7,FALSE)),0,1)</f>
        <v>1</v>
      </c>
      <c r="H40" s="257">
        <f ca="1">IF(AND(NOT(VLOOKUP(sektor,D28:J29,7,FALSE)),nr_pomoc=5),0,1)</f>
        <v>1</v>
      </c>
      <c r="K40" s="127"/>
      <c r="L40" s="128"/>
      <c r="M40" s="128">
        <f>+M35+60</f>
        <v>166</v>
      </c>
      <c r="N40" s="128">
        <f ca="1">+N35+60</f>
        <v>45442</v>
      </c>
      <c r="O40" s="128">
        <f t="shared" ca="1" si="0"/>
        <v>45260</v>
      </c>
      <c r="P40" s="129" t="s">
        <v>245</v>
      </c>
    </row>
    <row r="41" spans="2:16" ht="12.75" customHeight="1" x14ac:dyDescent="0.15">
      <c r="B41" s="41">
        <v>10</v>
      </c>
      <c r="C41" s="47" t="s">
        <v>155</v>
      </c>
      <c r="F41" s="40" t="s">
        <v>286</v>
      </c>
      <c r="G41" s="48">
        <v>0</v>
      </c>
      <c r="H41" s="48">
        <v>1</v>
      </c>
      <c r="K41" s="124">
        <v>8</v>
      </c>
      <c r="L41" s="125">
        <v>15</v>
      </c>
      <c r="M41" s="125">
        <f>DATE(YEAR(actStart),K41,L41)</f>
        <v>228</v>
      </c>
      <c r="N41" s="125">
        <f ca="1">DATE(YEAR(chgDate),K41,L41)</f>
        <v>45519</v>
      </c>
      <c r="O41" s="125">
        <f t="shared" ca="1" si="0"/>
        <v>45519</v>
      </c>
      <c r="P41" s="126" t="s">
        <v>246</v>
      </c>
    </row>
    <row r="42" spans="2:16" ht="12.75" customHeight="1" x14ac:dyDescent="0.15">
      <c r="B42" s="41">
        <v>11</v>
      </c>
      <c r="C42" s="47" t="s">
        <v>156</v>
      </c>
      <c r="K42" s="124">
        <v>11</v>
      </c>
      <c r="L42" s="125">
        <v>1</v>
      </c>
      <c r="M42" s="125">
        <f>DATE(YEAR(actStart),K42,L42)</f>
        <v>306</v>
      </c>
      <c r="N42" s="125">
        <f ca="1">DATE(YEAR(chgDate),K42,L42)</f>
        <v>45597</v>
      </c>
      <c r="O42" s="125">
        <f t="shared" ca="1" si="0"/>
        <v>45597</v>
      </c>
      <c r="P42" s="126" t="s">
        <v>247</v>
      </c>
    </row>
    <row r="43" spans="2:16" ht="12.75" customHeight="1" x14ac:dyDescent="0.15">
      <c r="B43" s="41">
        <v>12</v>
      </c>
      <c r="C43" s="47" t="s">
        <v>157</v>
      </c>
      <c r="K43" s="124">
        <v>11</v>
      </c>
      <c r="L43" s="125">
        <v>11</v>
      </c>
      <c r="M43" s="125">
        <f>DATE(YEAR(actStart),K43,L43)</f>
        <v>316</v>
      </c>
      <c r="N43" s="125">
        <f ca="1">DATE(YEAR(chgDate),K43,L43)</f>
        <v>45607</v>
      </c>
      <c r="O43" s="125">
        <f t="shared" ca="1" si="0"/>
        <v>45607</v>
      </c>
      <c r="P43" s="126" t="s">
        <v>248</v>
      </c>
    </row>
    <row r="44" spans="2:16" ht="12.75" customHeight="1" x14ac:dyDescent="0.15">
      <c r="K44" s="124">
        <v>12</v>
      </c>
      <c r="L44" s="125">
        <v>25</v>
      </c>
      <c r="M44" s="125">
        <f>DATE(YEAR(actStart),K44,L44)</f>
        <v>360</v>
      </c>
      <c r="N44" s="125">
        <f ca="1">DATE(YEAR(chgDate),K44,L44)</f>
        <v>45651</v>
      </c>
      <c r="O44" s="125">
        <f t="shared" ca="1" si="0"/>
        <v>45651</v>
      </c>
      <c r="P44" s="126" t="s">
        <v>249</v>
      </c>
    </row>
    <row r="45" spans="2:16" ht="12.75" customHeight="1" x14ac:dyDescent="0.15">
      <c r="K45" s="130">
        <v>12</v>
      </c>
      <c r="L45" s="131">
        <v>26</v>
      </c>
      <c r="M45" s="131">
        <f>DATE(YEAR(actStart),K45,L45)</f>
        <v>361</v>
      </c>
      <c r="N45" s="131">
        <f ca="1">DATE(YEAR(chgDate),K45,L45)</f>
        <v>45652</v>
      </c>
      <c r="O45" s="131">
        <f t="shared" ca="1" si="0"/>
        <v>45652</v>
      </c>
      <c r="P45" s="132" t="s">
        <v>249</v>
      </c>
    </row>
    <row r="46" spans="2:16" ht="12.75" customHeight="1" x14ac:dyDescent="0.15"/>
    <row r="47" spans="2:16" ht="17.25" customHeight="1" x14ac:dyDescent="0.15">
      <c r="B47" s="49" t="s">
        <v>15</v>
      </c>
      <c r="C47" s="662" t="s">
        <v>14</v>
      </c>
      <c r="D47" s="672"/>
      <c r="E47" s="672"/>
      <c r="F47" s="672"/>
      <c r="G47" s="672"/>
      <c r="H47" s="672"/>
      <c r="I47" s="663"/>
      <c r="J47" s="675" t="s">
        <v>382</v>
      </c>
      <c r="K47" s="676"/>
      <c r="L47" s="676"/>
    </row>
    <row r="48" spans="2:16" ht="12.75" customHeight="1" x14ac:dyDescent="0.15">
      <c r="B48" s="41">
        <v>1</v>
      </c>
      <c r="C48" s="655" t="s">
        <v>162</v>
      </c>
      <c r="D48" s="656"/>
      <c r="E48" s="656"/>
      <c r="F48" s="656"/>
      <c r="G48" s="656"/>
      <c r="H48" s="656"/>
      <c r="I48" s="657"/>
      <c r="J48" s="132"/>
      <c r="K48" s="132"/>
      <c r="L48" s="132"/>
    </row>
    <row r="49" spans="2:12" ht="12.75" customHeight="1" x14ac:dyDescent="0.15">
      <c r="B49" s="41">
        <v>10</v>
      </c>
      <c r="C49" s="655" t="s">
        <v>129</v>
      </c>
      <c r="D49" s="656"/>
      <c r="E49" s="656"/>
      <c r="F49" s="656"/>
      <c r="G49" s="656"/>
      <c r="H49" s="656"/>
      <c r="I49" s="657"/>
      <c r="J49" s="132"/>
      <c r="K49" s="132"/>
      <c r="L49" s="132"/>
    </row>
    <row r="50" spans="2:12" ht="12.75" customHeight="1" x14ac:dyDescent="0.15">
      <c r="B50" s="42">
        <v>11</v>
      </c>
      <c r="C50" s="655" t="s">
        <v>127</v>
      </c>
      <c r="D50" s="656"/>
      <c r="E50" s="656"/>
      <c r="F50" s="656"/>
      <c r="G50" s="656"/>
      <c r="H50" s="656"/>
      <c r="I50" s="657"/>
      <c r="J50" s="132"/>
      <c r="K50" s="132"/>
      <c r="L50" s="132"/>
    </row>
    <row r="51" spans="2:12" ht="12.75" customHeight="1" x14ac:dyDescent="0.15">
      <c r="B51" s="203">
        <v>12</v>
      </c>
      <c r="C51" s="652" t="str">
        <f ca="1">IF(actStart&gt;TODAY(),"Start","Zmiana")&amp;" gwarancji w przyszłości – wyliczona pomoc w EUR jest wyłącznie symulacją (nieznany kurs)."</f>
        <v>Zmiana gwarancji w przyszłości – wyliczona pomoc w EUR jest wyłącznie symulacją (nieznany kurs).</v>
      </c>
      <c r="D51" s="653"/>
      <c r="E51" s="653"/>
      <c r="F51" s="653"/>
      <c r="G51" s="653"/>
      <c r="H51" s="653"/>
      <c r="I51" s="654"/>
      <c r="J51" s="362"/>
      <c r="K51" s="362"/>
      <c r="L51" s="362"/>
    </row>
    <row r="52" spans="2:12" ht="12.75" customHeight="1" x14ac:dyDescent="0.15">
      <c r="B52" s="41">
        <v>13</v>
      </c>
      <c r="C52" s="655" t="s">
        <v>128</v>
      </c>
      <c r="D52" s="656"/>
      <c r="E52" s="656"/>
      <c r="F52" s="656"/>
      <c r="G52" s="656"/>
      <c r="H52" s="656"/>
      <c r="I52" s="657"/>
      <c r="J52" s="132"/>
      <c r="K52" s="132"/>
      <c r="L52" s="132"/>
    </row>
    <row r="53" spans="2:12" ht="12.75" customHeight="1" x14ac:dyDescent="0.15">
      <c r="B53" s="41">
        <v>14</v>
      </c>
      <c r="C53" s="47" t="s">
        <v>318</v>
      </c>
      <c r="D53" s="208"/>
      <c r="E53" s="208"/>
      <c r="F53" s="208"/>
      <c r="G53" s="208"/>
      <c r="H53" s="208"/>
      <c r="I53" s="209"/>
      <c r="J53" s="132"/>
      <c r="K53" s="132"/>
      <c r="L53" s="132"/>
    </row>
    <row r="54" spans="2:12" ht="12.75" customHeight="1" x14ac:dyDescent="0.15">
      <c r="B54" s="41">
        <v>15</v>
      </c>
      <c r="C54" s="655" t="s">
        <v>20</v>
      </c>
      <c r="D54" s="656"/>
      <c r="E54" s="656"/>
      <c r="F54" s="656"/>
      <c r="G54" s="656"/>
      <c r="H54" s="656"/>
      <c r="I54" s="657"/>
      <c r="J54" s="132" t="str">
        <f>IF(Kalkulator!BD11=1,"Wybrany wariant nie występuje dla tego produktu.
Wybierz inny wariant z listy.","")</f>
        <v/>
      </c>
      <c r="K54" s="132"/>
      <c r="L54" s="132"/>
    </row>
    <row r="55" spans="2:12" ht="12.75" customHeight="1" x14ac:dyDescent="0.15">
      <c r="B55" s="41">
        <v>20</v>
      </c>
      <c r="C55" s="47" t="s">
        <v>317</v>
      </c>
      <c r="D55" s="208"/>
      <c r="E55" s="208"/>
      <c r="F55" s="208"/>
      <c r="G55" s="208"/>
      <c r="H55" s="208"/>
      <c r="I55" s="209"/>
      <c r="J55" s="132" t="str">
        <f ca="1">IF(AND(OR(kod_produkt="POIR",kod_produkt="POPC"),wariant&lt;&gt;1),L55,K55)</f>
        <v>Pole należy uzupełnić poprzez wybranie pomocy publicznej.</v>
      </c>
      <c r="K55" s="362" t="str">
        <f>IF(OR(kod_produkt="KFG",kod_produkt="POPC",kod_produkt="KREU"),"Pole należy uzupełnić poprzez wybranie 
pomocy de minimis.",
 IF(kod_produkt="POIR","Pole należy uzupełnić poprzez wybranie:  
1. pomocy de minimis.
2. regionalnej pomocy inwestycyjnej.",
IF(kod_produkt="FGR_10","Pole należy uzupełnić poprzez wybranie:
1. pomocy de minimis.
2. pomocy publicznej.",
"Pole należy uzupełnić poprzez wybranie pomocy publicznej.")))</f>
        <v>Pole należy uzupełnić poprzez wybranie pomocy publicznej.</v>
      </c>
      <c r="L55" s="362" t="str">
        <f ca="1">"Pole należy uzupełnić wybierając metodę zastosowaną przy udzieleniu pierwotnej gwarancji:"&amp;IF(AND(kod_produkt="POPC",wariant&lt;&gt;1),"
1. de minimis standardowa,
2. de minimis notyfikowana.
W przypadku nieznajomości metody pierwotnej skontaktuj się z Bankiem Kredytującym.  
Zmiana metody wymaga kontaktu z BGK.",
IF(AND(kod_produkt="POIR",wariant&lt;&gt;1),"
1. de minimis standardowa,
2. de minimis notyfikowana,
3. regionalna pomoc inwestycyjna.
W przypadku nieznajomości metody pierwotnej skontaktuj się z Bankiem Kredytującym. 
Zmiana metody wymaga kontaktu z BGK."))</f>
        <v>Pole należy uzupełnić wybierając metodę zastosowaną przy udzieleniu pierwotnej gwarancji:FAŁSZ</v>
      </c>
    </row>
    <row r="56" spans="2:12" ht="12.75" customHeight="1" x14ac:dyDescent="0.15">
      <c r="B56" s="41">
        <v>21</v>
      </c>
      <c r="C56" s="47" t="s">
        <v>352</v>
      </c>
      <c r="D56" s="208"/>
      <c r="E56" s="208"/>
      <c r="F56" s="208"/>
      <c r="G56" s="208"/>
      <c r="H56" s="208"/>
      <c r="I56" s="209"/>
      <c r="J56" s="132" t="s">
        <v>412</v>
      </c>
      <c r="K56" s="132"/>
      <c r="L56" s="132"/>
    </row>
    <row r="57" spans="2:12" ht="12.75" customHeight="1" x14ac:dyDescent="0.15">
      <c r="B57" s="41">
        <v>22</v>
      </c>
      <c r="C57" s="47" t="s">
        <v>400</v>
      </c>
      <c r="D57" s="208"/>
      <c r="E57" s="208"/>
      <c r="F57" s="208"/>
      <c r="G57" s="208"/>
      <c r="H57" s="208"/>
      <c r="I57" s="209"/>
      <c r="J57" s="132" t="s">
        <v>403</v>
      </c>
      <c r="K57" s="132"/>
      <c r="L57" s="132"/>
    </row>
    <row r="58" spans="2:12" ht="12.75" customHeight="1" x14ac:dyDescent="0.15">
      <c r="B58" s="41">
        <v>30</v>
      </c>
      <c r="C58" s="655" t="s">
        <v>49</v>
      </c>
      <c r="D58" s="656"/>
      <c r="E58" s="656"/>
      <c r="F58" s="656"/>
      <c r="G58" s="656"/>
      <c r="H58" s="656"/>
      <c r="I58" s="657"/>
      <c r="J58" s="132" t="s">
        <v>385</v>
      </c>
      <c r="K58" s="132"/>
      <c r="L58" s="132"/>
    </row>
    <row r="59" spans="2:12" ht="12.75" customHeight="1" x14ac:dyDescent="0.15">
      <c r="B59" s="41">
        <v>31</v>
      </c>
      <c r="C59" s="47" t="s">
        <v>353</v>
      </c>
      <c r="D59" s="208"/>
      <c r="E59" s="208"/>
      <c r="F59" s="208"/>
      <c r="G59" s="208"/>
      <c r="H59" s="208"/>
      <c r="I59" s="209"/>
      <c r="J59" s="132" t="str">
        <f>J56</f>
        <v>Pole należy pozostawić puste (wybierz pustą wartość z listy lub wyczyść pole klawiszem DELETE).</v>
      </c>
      <c r="K59" s="132"/>
      <c r="L59" s="132"/>
    </row>
    <row r="60" spans="2:12" ht="12.75" customHeight="1" x14ac:dyDescent="0.15">
      <c r="B60" s="41">
        <v>40</v>
      </c>
      <c r="C60" s="655" t="s">
        <v>141</v>
      </c>
      <c r="D60" s="656"/>
      <c r="E60" s="656"/>
      <c r="F60" s="656"/>
      <c r="G60" s="656"/>
      <c r="H60" s="656"/>
      <c r="I60" s="657"/>
      <c r="J60" s="132" t="e">
        <f ca="1">"Wybierz rodzaj kredytu:" &amp; OFFSET(J60,0,CHOOSE(MATCH(kod_produkt,Produkty!C3:L3,0),1,1,2,2,1,2,2,1,2,2))</f>
        <v>#N/A</v>
      </c>
      <c r="K60" s="366" t="str">
        <f ca="1">"
1. obrotowy odnawialny – każda spłata odnawia kredyt.
2. obrotowy nieodnawialny – spłata nie odnawia kredytu.
3. inwestycyjny –  kredyt nieodnawialny; udzielony na finansowanie materialnych i niematerialnych inwestycji." &amp; IF(wariant&lt;&gt;1,"
4. schodkowy – kredyt odnawialny z zastosowaniem „schodkowego” schodzenia z limitu.","")</f>
        <v xml:space="preserve">
1. obrotowy odnawialny – każda spłata odnawia kredyt.
2. obrotowy nieodnawialny – spłata nie odnawia kredytu.
3. inwestycyjny –  kredyt nieodnawialny; udzielony na finansowanie materialnych i niematerialnych inwestycji.
4. schodkowy – kredyt odnawialny z zastosowaniem „schodkowego” schodzenia z limitu.</v>
      </c>
      <c r="L60" s="366" t="str">
        <f ca="1">IF(kod_produkt="POPC","
1. obrotowy nieodnawialny – spłata nie odnawia kredytu.
2. inwestycyjny –  kredyt nieodnawialny; udzielony na finansowanie materialnych i niematerialnych inwestycji.",
IF(AND(OR(kod_produkt="POIR",kod_produkt="FENG"),nr_pomoc=3),"
1. inwestycyjny –  kredyt nieodnawialny; udzielony na finansowanie materialnych i niematerialnych inwestycji.",
"
1. obrotowy odnawialny – każda spłata odnawia kredyt.
2. obrotowy nieodnawialny – spłata nie odnawia kredytu.
3. inwestycyjny –  kredyt nieodnawialny; udzielony na finansowanie materialnych i niematerialnych inwestycji."))</f>
        <v xml:space="preserve">
1. obrotowy odnawialny – każda spłata odnawia kredyt.
2. obrotowy nieodnawialny – spłata nie odnawia kredytu.
3. inwestycyjny –  kredyt nieodnawialny; udzielony na finansowanie materialnych i niematerialnych inwestycji.</v>
      </c>
    </row>
    <row r="61" spans="2:12" ht="12.75" customHeight="1" x14ac:dyDescent="0.15">
      <c r="B61" s="41">
        <v>41</v>
      </c>
      <c r="C61" s="47" t="s">
        <v>378</v>
      </c>
      <c r="D61" s="208"/>
      <c r="E61" s="208"/>
      <c r="F61" s="208"/>
      <c r="G61" s="208"/>
      <c r="H61" s="208"/>
      <c r="I61" s="209"/>
      <c r="J61" s="132" t="str">
        <f>J56</f>
        <v>Pole należy pozostawić puste (wybierz pustą wartość z listy lub wyczyść pole klawiszem DELETE).</v>
      </c>
      <c r="K61" s="132"/>
      <c r="L61" s="132"/>
    </row>
    <row r="62" spans="2:12" ht="12.75" customHeight="1" x14ac:dyDescent="0.15">
      <c r="B62" s="41">
        <v>44</v>
      </c>
      <c r="C62" s="47" t="s">
        <v>354</v>
      </c>
      <c r="D62" s="208"/>
      <c r="E62" s="208"/>
      <c r="F62" s="208"/>
      <c r="G62" s="208"/>
      <c r="H62" s="208"/>
      <c r="I62" s="209"/>
      <c r="J62" s="132" t="str">
        <f>J56</f>
        <v>Pole należy pozostawić puste (wybierz pustą wartość z listy lub wyczyść pole klawiszem DELETE).</v>
      </c>
      <c r="K62" s="132"/>
      <c r="L62" s="132"/>
    </row>
    <row r="63" spans="2:12" ht="12.75" customHeight="1" x14ac:dyDescent="0.15">
      <c r="B63" s="41">
        <v>45</v>
      </c>
      <c r="C63" s="655" t="s">
        <v>26</v>
      </c>
      <c r="D63" s="656"/>
      <c r="E63" s="656"/>
      <c r="F63" s="656"/>
      <c r="G63" s="656"/>
      <c r="H63" s="656"/>
      <c r="I63" s="657"/>
      <c r="J63" s="132" t="s">
        <v>431</v>
      </c>
      <c r="K63" s="132"/>
      <c r="L63" s="132"/>
    </row>
    <row r="64" spans="2:12" ht="12.75" customHeight="1" x14ac:dyDescent="0.15">
      <c r="B64" s="41">
        <v>46</v>
      </c>
      <c r="C64" s="655" t="s">
        <v>33</v>
      </c>
      <c r="D64" s="656"/>
      <c r="E64" s="656"/>
      <c r="F64" s="656"/>
      <c r="G64" s="656"/>
      <c r="H64" s="656"/>
      <c r="I64" s="657"/>
      <c r="J64" s="132"/>
      <c r="K64" s="132"/>
      <c r="L64" s="132"/>
    </row>
    <row r="65" spans="2:12" ht="12.75" customHeight="1" x14ac:dyDescent="0.15">
      <c r="B65" s="203">
        <v>47</v>
      </c>
      <c r="C65" s="652" t="e">
        <f ca="1">"Maksymalny limit pomocy wynoszący " &amp; TEXT(pomocMax, "# ##0") &amp; " € został przekroczony o " &amp; TEXT(SUM(Kalkulator!X19,kwotaPomocyEUR)-pomocMax, "# ##0,00") &amp; " €."</f>
        <v>#N/A</v>
      </c>
      <c r="D65" s="653"/>
      <c r="E65" s="653"/>
      <c r="F65" s="653"/>
      <c r="G65" s="653"/>
      <c r="H65" s="653"/>
      <c r="I65" s="654"/>
      <c r="J65" s="362"/>
      <c r="K65" s="362"/>
      <c r="L65" s="362"/>
    </row>
    <row r="66" spans="2:12" ht="12.75" customHeight="1" x14ac:dyDescent="0.15">
      <c r="B66" s="203">
        <v>48</v>
      </c>
      <c r="C66" s="652" t="str">
        <f>IF(kod_produkt="COSME","Wprowadź datę zawarcia umowy kredytowej.","Wprowadź dzień udzielenia pomocy.")</f>
        <v>Wprowadź dzień udzielenia pomocy.</v>
      </c>
      <c r="D66" s="653"/>
      <c r="E66" s="653"/>
      <c r="F66" s="653"/>
      <c r="G66" s="653"/>
      <c r="H66" s="653"/>
      <c r="I66" s="654"/>
      <c r="J66" s="362" t="str">
        <f ca="1">"Pole należy wypełnić w formacie daty zgodnym z ustawieniami regionalnymi (zazwyczaj RRRR-MM-DD)." &amp; IF(OR(wariant=1,wariant=7),K66,L66)</f>
        <v>Pole należy wypełnić w formacie daty zgodnym z ustawieniami regionalnymi (zazwyczaj RRRR-MM-DD).
Dniem udzielenia nowej pomocy jest dzień zawarcia i wpisania do rejestru aneksu w sprawie podwyższenia kwoty kredytu lub przedłużenia okresu kredytu objętego gwarancją.</v>
      </c>
      <c r="K66" s="362" t="str">
        <f>IF(kod_produkt="COSME","
Data zawarcia umowy kredytowej.","
Dzień udzielenia gwarancji.")</f>
        <v xml:space="preserve">
Dzień udzielenia gwarancji.</v>
      </c>
      <c r="L66" s="362" t="str">
        <f>IF(kod_produkt="COSME","
Pierwotna data zawarcia umowy kredytowej.",IF(kod_produkt&lt;&gt;"LGL","
Dniem udzielenia nowej pomocy jest dzień zawarcia i wpisania do rejestru aneksu w sprawie podwyższenia kwoty kredytu lub przedłużenia okresu kredytu objętego gwarancją.","
Dniem udzielnia pomocy jest dzień zawrcia umowy leasingu lub pożyczki."))</f>
        <v xml:space="preserve">
Dniem udzielenia nowej pomocy jest dzień zawarcia i wpisania do rejestru aneksu w sprawie podwyższenia kwoty kredytu lub przedłużenia okresu kredytu objętego gwarancją.</v>
      </c>
    </row>
    <row r="67" spans="2:12" ht="12.75" customHeight="1" x14ac:dyDescent="0.15">
      <c r="B67" s="41">
        <v>49</v>
      </c>
      <c r="C67" s="655" t="s">
        <v>359</v>
      </c>
      <c r="D67" s="656"/>
      <c r="E67" s="656"/>
      <c r="F67" s="656"/>
      <c r="G67" s="656"/>
      <c r="H67" s="656"/>
      <c r="I67" s="657"/>
      <c r="J67" s="132" t="str">
        <f>J56</f>
        <v>Pole należy pozostawić puste (wybierz pustą wartość z listy lub wyczyść pole klawiszem DELETE).</v>
      </c>
      <c r="K67" s="132"/>
      <c r="L67" s="132"/>
    </row>
    <row r="68" spans="2:12" ht="12.75" customHeight="1" x14ac:dyDescent="0.15">
      <c r="B68" s="41">
        <v>50</v>
      </c>
      <c r="C68" s="655" t="s">
        <v>87</v>
      </c>
      <c r="D68" s="656"/>
      <c r="E68" s="656"/>
      <c r="F68" s="656"/>
      <c r="G68" s="656"/>
      <c r="H68" s="656"/>
      <c r="I68" s="657"/>
      <c r="J68" s="132" t="s">
        <v>388</v>
      </c>
      <c r="K68" s="132"/>
      <c r="L68" s="132"/>
    </row>
    <row r="69" spans="2:12" ht="12.75" customHeight="1" x14ac:dyDescent="0.15">
      <c r="B69" s="41">
        <v>51</v>
      </c>
      <c r="C69" s="655" t="s">
        <v>355</v>
      </c>
      <c r="D69" s="656"/>
      <c r="E69" s="656"/>
      <c r="F69" s="656"/>
      <c r="G69" s="656"/>
      <c r="H69" s="656"/>
      <c r="I69" s="657"/>
      <c r="J69" s="132" t="str">
        <f>J56</f>
        <v>Pole należy pozostawić puste (wybierz pustą wartość z listy lub wyczyść pole klawiszem DELETE).</v>
      </c>
      <c r="K69" s="132"/>
      <c r="L69" s="132"/>
    </row>
    <row r="70" spans="2:12" ht="12.75" customHeight="1" x14ac:dyDescent="0.15">
      <c r="B70" s="203">
        <v>60</v>
      </c>
      <c r="C70" s="652" t="str">
        <f ca="1">"Wprowadź " &amp; IF(wariant&gt;1, "aktualną ","") &amp; "kwotę gwarancji w PLN."</f>
        <v>Wprowadź kwotę gwarancji w PLN.</v>
      </c>
      <c r="D70" s="653"/>
      <c r="E70" s="653"/>
      <c r="F70" s="653"/>
      <c r="G70" s="653"/>
      <c r="H70" s="653"/>
      <c r="I70" s="654"/>
      <c r="J70" s="362" t="str">
        <f ca="1">"Pole należy wypełnić wartością liczbową. "
&amp; IF(wariant&gt;1,"
Należy wpisać aktualną kwotę gwarancji w PLN – kwotę gwarancji wynikającą z zawartej umowy i wszystkich aneksów zawartych do dnia kalkulacji bieżącej zmiany.","
Należy wpisać kwotę gwarancji w PLN.")</f>
        <v>Pole należy wypełnić wartością liczbową. 
Należy wpisać kwotę gwarancji w PLN.</v>
      </c>
      <c r="K70" s="362"/>
      <c r="L70" s="362"/>
    </row>
    <row r="71" spans="2:12" ht="12.75" customHeight="1" x14ac:dyDescent="0.15">
      <c r="B71" s="203">
        <v>61</v>
      </c>
      <c r="C71" s="652" t="str">
        <f ca="1">"Maksymalna kwota gwarancji w EUR" &amp; IF(Kalkulator!BM33&lt;=VLOOKUP(sektor,parPomoc,4,FALSE), "", " dla " &amp; Kalkulator!BM33 &amp; " miesięcy okresu ważności") &amp; " wynosi " &amp; TEXT(VLOOKUP(sektor,parPomoc,IF(threshold=1,3,5),FALSE),"# ### ##0") &amp; " €."</f>
        <v>Maksymalna kwota gwarancji w EUR wynosi 750 000 €.</v>
      </c>
      <c r="D71" s="653"/>
      <c r="E71" s="653"/>
      <c r="F71" s="653"/>
      <c r="G71" s="653"/>
      <c r="H71" s="653"/>
      <c r="I71" s="654"/>
      <c r="J71" s="362"/>
      <c r="K71" s="362"/>
      <c r="L71" s="362"/>
    </row>
    <row r="72" spans="2:12" ht="12.75" customHeight="1" x14ac:dyDescent="0.15">
      <c r="B72" s="41">
        <v>62</v>
      </c>
      <c r="C72" s="655" t="s">
        <v>197</v>
      </c>
      <c r="D72" s="656"/>
      <c r="E72" s="656"/>
      <c r="F72" s="656"/>
      <c r="G72" s="656"/>
      <c r="H72" s="656"/>
      <c r="I72" s="657"/>
      <c r="J72" s="132"/>
      <c r="K72" s="132"/>
      <c r="L72" s="132"/>
    </row>
    <row r="73" spans="2:12" ht="12.75" customHeight="1" x14ac:dyDescent="0.15">
      <c r="B73" s="203">
        <v>63</v>
      </c>
      <c r="C73" s="652" t="str">
        <f ca="1">"Kwota gwarancji w PLN przekracza maksymalną "&amp; IF(OR(kod_produkt="POIR",kod_produkt="POPC",AND(kod_produkt="KFG",aidDate&gt;=44197,aidDate&lt;45292)),"wartość " &amp; TEXT(maxGuarEur,"# ##0") &amp;" EUR ","") &amp; "(" &amp; TEXT(maxGuar,"# ##0") &amp; " PLN)."</f>
        <v>Kwota gwarancji w PLN przekracza maksymalną (0 PLN).</v>
      </c>
      <c r="D73" s="653"/>
      <c r="E73" s="653"/>
      <c r="F73" s="653"/>
      <c r="G73" s="653"/>
      <c r="H73" s="653"/>
      <c r="I73" s="654"/>
      <c r="J73" s="362"/>
      <c r="K73" s="362"/>
      <c r="L73" s="362"/>
    </row>
    <row r="74" spans="2:12" ht="12.75" customHeight="1" x14ac:dyDescent="0.15">
      <c r="B74" s="203">
        <v>64</v>
      </c>
      <c r="C74" s="652" t="str">
        <f>"Przy okresie ważności większym od " &amp; VLOOKUP(sektor,parPomoc,4,FALSE) &amp; " miesięcy maksymalna kwota gwarancji w EUR wynosi " &amp; TEXT(VLOOKUP(sektor,parPomoc,5,FALSE),"# ### ##0") &amp; "."</f>
        <v>Przy okresie ważności większym od 60 miesięcy maksymalna kwota gwarancji w EUR wynosi 750 000.</v>
      </c>
      <c r="D74" s="653"/>
      <c r="E74" s="653"/>
      <c r="F74" s="653"/>
      <c r="G74" s="653"/>
      <c r="H74" s="653"/>
      <c r="I74" s="654"/>
      <c r="J74" s="362"/>
      <c r="K74" s="362"/>
      <c r="L74" s="362"/>
    </row>
    <row r="75" spans="2:12" ht="12.75" customHeight="1" x14ac:dyDescent="0.15">
      <c r="B75" s="41">
        <v>70</v>
      </c>
      <c r="C75" s="655" t="s">
        <v>263</v>
      </c>
      <c r="D75" s="656"/>
      <c r="E75" s="656"/>
      <c r="F75" s="656"/>
      <c r="G75" s="656"/>
      <c r="H75" s="656"/>
      <c r="I75" s="657"/>
      <c r="J75" s="132" t="str">
        <f>"Pole należy wypełnić w formacie daty zgodnym z ustawieniami regionalnymi (zazwyczaj RRRR-MM-DD).
Należy podać "&amp;IF(kod_produkt="LGL",IF(wariant=1,"datę udzielenia gwarancji.","datę uruchomienia leasingu lub pożyczki."),"pierwotną datę objęcia kredytu gwarancją.")</f>
        <v>Pole należy wypełnić w formacie daty zgodnym z ustawieniami regionalnymi (zazwyczaj RRRR-MM-DD).
Należy podać pierwotną datę objęcia kredytu gwarancją.</v>
      </c>
      <c r="K75" s="132"/>
      <c r="L75" s="132"/>
    </row>
    <row r="76" spans="2:12" ht="12.75" customHeight="1" x14ac:dyDescent="0.15">
      <c r="B76" s="41">
        <v>71</v>
      </c>
      <c r="C76" s="655" t="s">
        <v>193</v>
      </c>
      <c r="D76" s="656"/>
      <c r="E76" s="656"/>
      <c r="F76" s="656"/>
      <c r="G76" s="656"/>
      <c r="H76" s="656"/>
      <c r="I76" s="657"/>
      <c r="J76" s="132"/>
      <c r="K76" s="132"/>
      <c r="L76" s="132"/>
    </row>
    <row r="77" spans="2:12" ht="12.75" customHeight="1" x14ac:dyDescent="0.15">
      <c r="B77" s="41">
        <v>72</v>
      </c>
      <c r="C77" s="655" t="s">
        <v>194</v>
      </c>
      <c r="D77" s="656"/>
      <c r="E77" s="656"/>
      <c r="F77" s="656"/>
      <c r="G77" s="656"/>
      <c r="H77" s="656"/>
      <c r="I77" s="657"/>
      <c r="J77" s="132"/>
      <c r="K77" s="132"/>
      <c r="L77" s="132"/>
    </row>
    <row r="78" spans="2:12" ht="12.75" customHeight="1" x14ac:dyDescent="0.15">
      <c r="B78" s="41">
        <v>73</v>
      </c>
      <c r="C78" s="47" t="s">
        <v>362</v>
      </c>
      <c r="D78" s="208"/>
      <c r="E78" s="208"/>
      <c r="F78" s="208"/>
      <c r="G78" s="208"/>
      <c r="H78" s="208"/>
      <c r="I78" s="209"/>
      <c r="J78" s="132"/>
      <c r="K78" s="132"/>
      <c r="L78" s="132"/>
    </row>
    <row r="79" spans="2:12" ht="12.75" customHeight="1" x14ac:dyDescent="0.15">
      <c r="B79" s="41">
        <v>74</v>
      </c>
      <c r="C79" s="47" t="s">
        <v>363</v>
      </c>
      <c r="D79" s="208"/>
      <c r="E79" s="208"/>
      <c r="F79" s="208"/>
      <c r="G79" s="208"/>
      <c r="H79" s="208"/>
      <c r="I79" s="209"/>
      <c r="J79" s="132"/>
      <c r="K79" s="132"/>
      <c r="L79" s="132"/>
    </row>
    <row r="80" spans="2:12" ht="12.75" customHeight="1" x14ac:dyDescent="0.15">
      <c r="B80" s="41">
        <v>75</v>
      </c>
      <c r="C80" s="47" t="s">
        <v>454</v>
      </c>
      <c r="D80" s="208"/>
      <c r="E80" s="208"/>
      <c r="F80" s="208"/>
      <c r="G80" s="208"/>
      <c r="H80" s="208"/>
      <c r="I80" s="209"/>
      <c r="J80" s="132"/>
      <c r="K80" s="132"/>
      <c r="L80" s="132"/>
    </row>
    <row r="81" spans="2:12" ht="12.75" customHeight="1" x14ac:dyDescent="0.15">
      <c r="B81" s="41">
        <v>76</v>
      </c>
      <c r="C81" s="47" t="s">
        <v>463</v>
      </c>
      <c r="D81" s="208"/>
      <c r="E81" s="208"/>
      <c r="F81" s="208"/>
      <c r="G81" s="208"/>
      <c r="H81" s="208"/>
      <c r="I81" s="209"/>
      <c r="J81" s="132"/>
      <c r="K81" s="132"/>
      <c r="L81" s="132"/>
    </row>
    <row r="82" spans="2:12" ht="12.75" customHeight="1" x14ac:dyDescent="0.15">
      <c r="B82" s="203">
        <v>80</v>
      </c>
      <c r="C82" s="652" t="str">
        <f ca="1">"Wprowadź "&amp;IF(AND(wariant&gt;1,wariant&lt;8),"aktualny ","")&amp;"koniec okresu ważności."</f>
        <v>Wprowadź koniec okresu ważności.</v>
      </c>
      <c r="D82" s="653"/>
      <c r="E82" s="653"/>
      <c r="F82" s="653"/>
      <c r="G82" s="653"/>
      <c r="H82" s="653"/>
      <c r="I82" s="654"/>
      <c r="J82" s="362" t="str">
        <f ca="1">"Pole należy wypełnić w formacie daty zgodnym z ustawieniami regionalnymi (zazwyczaj RRRR-MM-DD)."
&amp; IF(AND(wariant&gt;1,wariant&lt;8),"
Należy podać datę końca okresu ważności gwarancji wynikającą z umowy i wszystkich wcześniejszych dokonanych zmian (aneksów).","
Należy podać datę końca okresu ważności gwarancji.")</f>
        <v>Pole należy wypełnić w formacie daty zgodnym z ustawieniami regionalnymi (zazwyczaj RRRR-MM-DD).
Należy podać datę końca okresu ważności gwarancji.</v>
      </c>
      <c r="K82" s="362"/>
      <c r="L82" s="362"/>
    </row>
    <row r="83" spans="2:12" ht="12.75" customHeight="1" x14ac:dyDescent="0.15">
      <c r="B83" s="203">
        <v>81</v>
      </c>
      <c r="C83" s="652" t="str">
        <f ca="1">IF(wariant&gt;1,"Aktualny k","K")&amp;"oniec okresu ważności nie jest większy od początku okresu."</f>
        <v>Koniec okresu ważności nie jest większy od początku okresu.</v>
      </c>
      <c r="D83" s="653"/>
      <c r="E83" s="653"/>
      <c r="F83" s="653"/>
      <c r="G83" s="653"/>
      <c r="H83" s="653"/>
      <c r="I83" s="654"/>
      <c r="J83" s="362"/>
      <c r="K83" s="362"/>
      <c r="L83" s="362"/>
    </row>
    <row r="84" spans="2:12" ht="12.75" customHeight="1" x14ac:dyDescent="0.15">
      <c r="B84" s="203">
        <v>82</v>
      </c>
      <c r="C84" s="652" t="str">
        <f>C74</f>
        <v>Przy okresie ważności większym od 60 miesięcy maksymalna kwota gwarancji w EUR wynosi 750 000.</v>
      </c>
      <c r="D84" s="653"/>
      <c r="E84" s="653"/>
      <c r="F84" s="653"/>
      <c r="G84" s="653"/>
      <c r="H84" s="653"/>
      <c r="I84" s="654"/>
      <c r="J84" s="362"/>
      <c r="K84" s="362"/>
      <c r="L84" s="362"/>
    </row>
    <row r="85" spans="2:12" ht="12.75" customHeight="1" x14ac:dyDescent="0.15">
      <c r="B85" s="203">
        <v>83</v>
      </c>
      <c r="C85" s="652" t="e">
        <f ca="1">C65</f>
        <v>#N/A</v>
      </c>
      <c r="D85" s="653"/>
      <c r="E85" s="653"/>
      <c r="F85" s="653"/>
      <c r="G85" s="653"/>
      <c r="H85" s="653"/>
      <c r="I85" s="654"/>
      <c r="J85" s="362"/>
      <c r="K85" s="362"/>
      <c r="L85" s="362"/>
    </row>
    <row r="86" spans="2:12" ht="12.75" customHeight="1" x14ac:dyDescent="0.15">
      <c r="B86" s="41">
        <v>84</v>
      </c>
      <c r="C86" s="655" t="s">
        <v>103</v>
      </c>
      <c r="D86" s="656"/>
      <c r="E86" s="656"/>
      <c r="F86" s="656"/>
      <c r="G86" s="656"/>
      <c r="H86" s="656"/>
      <c r="I86" s="657"/>
      <c r="J86" s="132"/>
      <c r="K86" s="132"/>
      <c r="L86" s="132"/>
    </row>
    <row r="87" spans="2:12" ht="12.75" customHeight="1" x14ac:dyDescent="0.15">
      <c r="B87" s="203">
        <v>85</v>
      </c>
      <c r="C87" s="652" t="str">
        <f ca="1">"Gwarancja nie ma rocznicy w "&amp; YEAR(repDate) &amp;" roku."</f>
        <v>Gwarancja nie ma rocznicy w 2023 roku.</v>
      </c>
      <c r="D87" s="653"/>
      <c r="E87" s="653"/>
      <c r="F87" s="653"/>
      <c r="G87" s="653"/>
      <c r="H87" s="653"/>
      <c r="I87" s="654"/>
      <c r="J87" s="362"/>
      <c r="K87" s="362"/>
      <c r="L87" s="362"/>
    </row>
    <row r="88" spans="2:12" ht="12.75" customHeight="1" x14ac:dyDescent="0.15">
      <c r="B88" s="41">
        <v>86</v>
      </c>
      <c r="C88" s="655" t="s">
        <v>198</v>
      </c>
      <c r="D88" s="656"/>
      <c r="E88" s="656"/>
      <c r="F88" s="656"/>
      <c r="G88" s="656"/>
      <c r="H88" s="656"/>
      <c r="I88" s="657"/>
      <c r="J88" s="132"/>
      <c r="K88" s="132"/>
      <c r="L88" s="132"/>
    </row>
    <row r="89" spans="2:12" ht="12.75" customHeight="1" x14ac:dyDescent="0.15">
      <c r="B89" s="203">
        <v>87</v>
      </c>
      <c r="C89" s="652" t="e">
        <f ca="1">"Przekroczono maksymalny okres ważności gwarancji (" &amp; maxMonths &amp; " miesięcy)."</f>
        <v>#N/A</v>
      </c>
      <c r="D89" s="653"/>
      <c r="E89" s="653"/>
      <c r="F89" s="653"/>
      <c r="G89" s="653"/>
      <c r="H89" s="653"/>
      <c r="I89" s="654"/>
      <c r="J89" s="362"/>
      <c r="K89" s="362"/>
      <c r="L89" s="362"/>
    </row>
    <row r="90" spans="2:12" ht="12.75" customHeight="1" x14ac:dyDescent="0.15">
      <c r="B90" s="41">
        <v>90</v>
      </c>
      <c r="C90" s="655" t="s">
        <v>11</v>
      </c>
      <c r="D90" s="656"/>
      <c r="E90" s="656"/>
      <c r="F90" s="656"/>
      <c r="G90" s="656"/>
      <c r="H90" s="656"/>
      <c r="I90" s="657"/>
      <c r="J90" s="132" t="s">
        <v>386</v>
      </c>
      <c r="K90" s="132"/>
      <c r="L90" s="132"/>
    </row>
    <row r="91" spans="2:12" ht="12.75" customHeight="1" x14ac:dyDescent="0.15">
      <c r="B91" s="41">
        <v>91</v>
      </c>
      <c r="C91" s="655" t="s">
        <v>90</v>
      </c>
      <c r="D91" s="656"/>
      <c r="E91" s="656"/>
      <c r="F91" s="656"/>
      <c r="G91" s="656"/>
      <c r="H91" s="656"/>
      <c r="I91" s="657"/>
      <c r="J91" s="132" t="str">
        <f>J56</f>
        <v>Pole należy pozostawić puste (wybierz pustą wartość z listy lub wyczyść pole klawiszem DELETE).</v>
      </c>
      <c r="K91" s="132"/>
      <c r="L91" s="132"/>
    </row>
    <row r="92" spans="2:12" ht="12.75" customHeight="1" x14ac:dyDescent="0.15">
      <c r="B92" s="41">
        <v>92</v>
      </c>
      <c r="C92" s="655" t="s">
        <v>22</v>
      </c>
      <c r="D92" s="656"/>
      <c r="E92" s="656"/>
      <c r="F92" s="656"/>
      <c r="G92" s="656"/>
      <c r="H92" s="656"/>
      <c r="I92" s="657"/>
      <c r="J92" s="132"/>
      <c r="K92" s="132"/>
      <c r="L92" s="132"/>
    </row>
    <row r="93" spans="2:12" ht="12.75" customHeight="1" x14ac:dyDescent="0.15">
      <c r="B93" s="41">
        <v>93</v>
      </c>
      <c r="C93" s="655" t="s">
        <v>23</v>
      </c>
      <c r="D93" s="656"/>
      <c r="E93" s="656"/>
      <c r="F93" s="656"/>
      <c r="G93" s="656"/>
      <c r="H93" s="656"/>
      <c r="I93" s="657"/>
      <c r="J93" s="132"/>
      <c r="K93" s="132"/>
      <c r="L93" s="132"/>
    </row>
    <row r="94" spans="2:12" ht="12.75" customHeight="1" x14ac:dyDescent="0.15">
      <c r="B94" s="203">
        <v>94</v>
      </c>
      <c r="C94" s="652" t="str">
        <f ca="1">"Nowa kwota gwarancji w PLN przekracza maksymalną "&amp; IF(OR(kod_produkt="POIR",kod_produkt="POPC",AND(kod_produkt="KFG",aidDate&gt;=44197,aidDate&lt;45292)),"wartość " &amp; TEXT(maxGuarEur,"# ##0") &amp;" EUR ","") &amp; "(" &amp; TEXT(maxGuar,"# ##0") &amp; " PLN)."</f>
        <v>Nowa kwota gwarancji w PLN przekracza maksymalną (0 PLN).</v>
      </c>
      <c r="D94" s="653"/>
      <c r="E94" s="653"/>
      <c r="F94" s="653"/>
      <c r="G94" s="653"/>
      <c r="H94" s="653"/>
      <c r="I94" s="654"/>
      <c r="J94" s="362"/>
      <c r="K94" s="362"/>
      <c r="L94" s="362"/>
    </row>
    <row r="95" spans="2:12" ht="12.75" customHeight="1" x14ac:dyDescent="0.15">
      <c r="B95" s="203">
        <v>95</v>
      </c>
      <c r="C95" s="652" t="str">
        <f ca="1">"Maksymalna kwota gwarancji w EUR to " &amp; TEXT(maxGuarEur,"# ### ##0") &amp; "."</f>
        <v>Maksymalna kwota gwarancji w EUR to 99 999 999.</v>
      </c>
      <c r="D95" s="653"/>
      <c r="E95" s="653"/>
      <c r="F95" s="653"/>
      <c r="G95" s="653"/>
      <c r="H95" s="653"/>
      <c r="I95" s="654"/>
      <c r="J95" s="362"/>
      <c r="K95" s="362"/>
      <c r="L95" s="362"/>
    </row>
    <row r="96" spans="2:12" ht="12.75" customHeight="1" x14ac:dyDescent="0.15">
      <c r="B96" s="203">
        <v>96</v>
      </c>
      <c r="C96" s="652" t="str">
        <f>C74</f>
        <v>Przy okresie ważności większym od 60 miesięcy maksymalna kwota gwarancji w EUR wynosi 750 000.</v>
      </c>
      <c r="D96" s="653"/>
      <c r="E96" s="653"/>
      <c r="F96" s="653"/>
      <c r="G96" s="653"/>
      <c r="H96" s="653"/>
      <c r="I96" s="654"/>
      <c r="J96" s="362"/>
      <c r="K96" s="362"/>
      <c r="L96" s="362"/>
    </row>
    <row r="97" spans="2:12" ht="12.75" customHeight="1" x14ac:dyDescent="0.15">
      <c r="B97" s="203">
        <v>100</v>
      </c>
      <c r="C97" s="652" t="str">
        <f ca="1">"Wprowadź " &amp; SUBSTITUTE(SUBSTITUTE(LOWER(VLOOKUP(wariant, chgDateDesc, 2, FALSE)),"faktyczna","faktyczną"),"data","datę") &amp; "."</f>
        <v>Wprowadź datę zmiany.</v>
      </c>
      <c r="D97" s="653"/>
      <c r="E97" s="653"/>
      <c r="F97" s="653"/>
      <c r="G97" s="653"/>
      <c r="H97" s="653"/>
      <c r="I97" s="654"/>
      <c r="J97" s="362" t="str">
        <f ca="1">"Pole należy wypełnić w formacie daty zgodnym z ustawieniami regionalnymi (zazwyczaj RRRR-MM-DD).
"&amp;IF(OR(wariant=2,wariant=5,wariant=6),"
Należy wpisać faktyczną datę podwyższenia kwoty gwarancji.",IF(wariant=4,"
Należy wpisać faktyczną datę obniżenia kwoty gwarancji.","
Należy wpisać datę zawarcia aneksu."))</f>
        <v>Pole należy wypełnić w formacie daty zgodnym z ustawieniami regionalnymi (zazwyczaj RRRR-MM-DD).
Należy wpisać datę zawarcia aneksu.</v>
      </c>
      <c r="K97" s="362"/>
      <c r="L97" s="362"/>
    </row>
    <row r="98" spans="2:12" ht="12.75" customHeight="1" x14ac:dyDescent="0.15">
      <c r="B98" s="203">
        <v>101</v>
      </c>
      <c r="C98" s="652" t="str">
        <f ca="1">VLOOKUP(wariant, chgDateDesc, 2, FALSE) &amp; " nie może być wprowadzona."</f>
        <v>Data zmiany nie może być wprowadzona.</v>
      </c>
      <c r="D98" s="653"/>
      <c r="E98" s="653"/>
      <c r="F98" s="653"/>
      <c r="G98" s="653"/>
      <c r="H98" s="653"/>
      <c r="I98" s="654"/>
      <c r="J98" s="362" t="str">
        <f>J56</f>
        <v>Pole należy pozostawić puste (wybierz pustą wartość z listy lub wyczyść pole klawiszem DELETE).</v>
      </c>
      <c r="K98" s="362"/>
      <c r="L98" s="362"/>
    </row>
    <row r="99" spans="2:12" ht="12.75" customHeight="1" x14ac:dyDescent="0.15">
      <c r="B99" s="203">
        <v>102</v>
      </c>
      <c r="C99" s="652" t="str">
        <f ca="1">VLOOKUP(wariant, chgDateDesc, 2, FALSE) &amp; " musi zawierać się w "&amp;IF(wariant&lt;&gt;6,"aktualnym","nowym")&amp;" okresie ważności gwarancji."</f>
        <v>Data zmiany musi zawierać się w aktualnym okresie ważności gwarancji.</v>
      </c>
      <c r="D99" s="653"/>
      <c r="E99" s="653"/>
      <c r="F99" s="653"/>
      <c r="G99" s="653"/>
      <c r="H99" s="653"/>
      <c r="I99" s="654"/>
      <c r="J99" s="362"/>
      <c r="K99" s="362"/>
      <c r="L99" s="362"/>
    </row>
    <row r="100" spans="2:12" ht="12.75" customHeight="1" x14ac:dyDescent="0.15">
      <c r="B100" s="203">
        <v>103</v>
      </c>
      <c r="C100" s="652" t="str">
        <f ca="1">VLOOKUP(wariant, chgDateDesc, 2, FALSE) &amp; " nie może być mniejsza od początku okresu ważności."</f>
        <v>Data zmiany nie może być mniejsza od początku okresu ważności.</v>
      </c>
      <c r="D100" s="653"/>
      <c r="E100" s="653"/>
      <c r="F100" s="653"/>
      <c r="G100" s="653"/>
      <c r="H100" s="653"/>
      <c r="I100" s="654"/>
      <c r="J100" s="362"/>
      <c r="K100" s="362"/>
      <c r="L100" s="362"/>
    </row>
    <row r="101" spans="2:12" ht="12.75" customHeight="1" x14ac:dyDescent="0.15">
      <c r="B101" s="203">
        <v>104</v>
      </c>
      <c r="C101" s="652" t="str">
        <f ca="1">VLOOKUP(wariant, chgDateDesc, 2, FALSE) &amp; " przy skróceniu musi być mniejsza od aktualnego końca okresu ważności."</f>
        <v>Data zmiany przy skróceniu musi być mniejsza od aktualnego końca okresu ważności.</v>
      </c>
      <c r="D101" s="653"/>
      <c r="E101" s="653"/>
      <c r="F101" s="653"/>
      <c r="G101" s="653"/>
      <c r="H101" s="653"/>
      <c r="I101" s="654"/>
      <c r="J101" s="362"/>
      <c r="K101" s="362"/>
      <c r="L101" s="362"/>
    </row>
    <row r="102" spans="2:12" ht="12.75" customHeight="1" x14ac:dyDescent="0.15">
      <c r="B102" s="203">
        <v>105</v>
      </c>
      <c r="C102" s="652" t="str">
        <f ca="1">VLOOKUP(wariant, chgDateDesc, 2, FALSE) &amp; " nie może być wcześniejsza od dnia udzielenia pomocy."</f>
        <v>Data zmiany nie może być wcześniejsza od dnia udzielenia pomocy.</v>
      </c>
      <c r="D102" s="653"/>
      <c r="E102" s="653"/>
      <c r="F102" s="653"/>
      <c r="G102" s="653"/>
      <c r="H102" s="653"/>
      <c r="I102" s="654"/>
      <c r="J102" s="362"/>
      <c r="K102" s="362"/>
      <c r="L102" s="362"/>
    </row>
    <row r="103" spans="2:12" ht="12.75" customHeight="1" x14ac:dyDescent="0.15">
      <c r="B103" s="41">
        <v>110</v>
      </c>
      <c r="C103" s="655" t="s">
        <v>21</v>
      </c>
      <c r="D103" s="656"/>
      <c r="E103" s="656"/>
      <c r="F103" s="656"/>
      <c r="G103" s="656"/>
      <c r="H103" s="656"/>
      <c r="I103" s="657"/>
      <c r="J103" s="132" t="s">
        <v>387</v>
      </c>
      <c r="K103" s="132"/>
      <c r="L103" s="132"/>
    </row>
    <row r="104" spans="2:12" ht="12.75" customHeight="1" x14ac:dyDescent="0.15">
      <c r="B104" s="41">
        <v>111</v>
      </c>
      <c r="C104" s="655" t="s">
        <v>91</v>
      </c>
      <c r="D104" s="656"/>
      <c r="E104" s="656"/>
      <c r="F104" s="656"/>
      <c r="G104" s="656"/>
      <c r="H104" s="656"/>
      <c r="I104" s="657"/>
      <c r="J104" s="132" t="str">
        <f>J56</f>
        <v>Pole należy pozostawić puste (wybierz pustą wartość z listy lub wyczyść pole klawiszem DELETE).</v>
      </c>
      <c r="K104" s="132"/>
      <c r="L104" s="132"/>
    </row>
    <row r="105" spans="2:12" ht="12.75" customHeight="1" x14ac:dyDescent="0.15">
      <c r="B105" s="41">
        <v>112</v>
      </c>
      <c r="C105" s="655" t="s">
        <v>24</v>
      </c>
      <c r="D105" s="656"/>
      <c r="E105" s="656"/>
      <c r="F105" s="656"/>
      <c r="G105" s="656"/>
      <c r="H105" s="656"/>
      <c r="I105" s="657"/>
      <c r="J105" s="132"/>
      <c r="K105" s="132"/>
      <c r="L105" s="132"/>
    </row>
    <row r="106" spans="2:12" ht="12.75" customHeight="1" x14ac:dyDescent="0.15">
      <c r="B106" s="41">
        <v>113</v>
      </c>
      <c r="C106" s="655" t="s">
        <v>32</v>
      </c>
      <c r="D106" s="656"/>
      <c r="E106" s="656"/>
      <c r="F106" s="656"/>
      <c r="G106" s="656"/>
      <c r="H106" s="656"/>
      <c r="I106" s="657"/>
      <c r="J106" s="132"/>
      <c r="K106" s="132"/>
      <c r="L106" s="132"/>
    </row>
    <row r="107" spans="2:12" ht="12.75" customHeight="1" x14ac:dyDescent="0.15">
      <c r="B107" s="41">
        <v>116</v>
      </c>
      <c r="C107" s="655" t="s">
        <v>104</v>
      </c>
      <c r="D107" s="656"/>
      <c r="E107" s="656"/>
      <c r="F107" s="656"/>
      <c r="G107" s="656"/>
      <c r="H107" s="656"/>
      <c r="I107" s="657"/>
      <c r="J107" s="132"/>
      <c r="K107" s="132"/>
      <c r="L107" s="132"/>
    </row>
    <row r="108" spans="2:12" ht="12.75" customHeight="1" x14ac:dyDescent="0.15">
      <c r="B108" s="203">
        <v>117</v>
      </c>
      <c r="C108" s="652" t="str">
        <f>C74</f>
        <v>Przy okresie ważności większym od 60 miesięcy maksymalna kwota gwarancji w EUR wynosi 750 000.</v>
      </c>
      <c r="D108" s="653"/>
      <c r="E108" s="653"/>
      <c r="F108" s="653"/>
      <c r="G108" s="653"/>
      <c r="H108" s="653"/>
      <c r="I108" s="654"/>
      <c r="J108" s="362"/>
      <c r="K108" s="362"/>
      <c r="L108" s="362"/>
    </row>
    <row r="109" spans="2:12" ht="12.75" customHeight="1" x14ac:dyDescent="0.15">
      <c r="B109" s="203">
        <v>118</v>
      </c>
      <c r="C109" s="652" t="e">
        <f ca="1">C89</f>
        <v>#N/A</v>
      </c>
      <c r="D109" s="653"/>
      <c r="E109" s="653"/>
      <c r="F109" s="653"/>
      <c r="G109" s="653"/>
      <c r="H109" s="653"/>
      <c r="I109" s="654"/>
      <c r="J109" s="362"/>
      <c r="K109" s="362"/>
      <c r="L109" s="362"/>
    </row>
    <row r="110" spans="2:12" ht="12.75" customHeight="1" x14ac:dyDescent="0.15">
      <c r="B110" s="41">
        <v>119</v>
      </c>
      <c r="C110" s="655" t="s">
        <v>371</v>
      </c>
      <c r="D110" s="656"/>
      <c r="E110" s="656"/>
      <c r="F110" s="656"/>
      <c r="G110" s="656"/>
      <c r="H110" s="656"/>
      <c r="I110" s="657"/>
      <c r="J110" s="132"/>
      <c r="K110" s="132"/>
      <c r="L110" s="132"/>
    </row>
    <row r="111" spans="2:12" ht="12.75" customHeight="1" x14ac:dyDescent="0.15">
      <c r="B111" s="41">
        <v>120</v>
      </c>
      <c r="C111" s="655" t="s">
        <v>122</v>
      </c>
      <c r="D111" s="656"/>
      <c r="E111" s="656"/>
      <c r="F111" s="656"/>
      <c r="G111" s="656"/>
      <c r="H111" s="656"/>
      <c r="I111" s="657"/>
      <c r="J111" s="132" t="str">
        <f>J56</f>
        <v>Pole należy pozostawić puste (wybierz pustą wartość z listy lub wyczyść pole klawiszem DELETE).</v>
      </c>
      <c r="K111" s="132"/>
      <c r="L111" s="132"/>
    </row>
    <row r="112" spans="2:12" ht="12.75" customHeight="1" x14ac:dyDescent="0.15">
      <c r="B112" s="203">
        <v>121</v>
      </c>
      <c r="C112" s="652" t="str">
        <f ca="1">"Podstawa wyliczania prowizji nie może być większa od "&amp;IF(AND(chgDate&lt;=ppStart,Kalkulator!BB37=1),"nowej","aktualnej")&amp; " kwoty gwarancji."</f>
        <v>Podstawa wyliczania prowizji nie może być większa od aktualnej kwoty gwarancji.</v>
      </c>
      <c r="D112" s="653"/>
      <c r="E112" s="653"/>
      <c r="F112" s="653"/>
      <c r="G112" s="653"/>
      <c r="H112" s="653"/>
      <c r="I112" s="654"/>
      <c r="J112" s="362"/>
      <c r="K112" s="362"/>
      <c r="L112" s="362"/>
    </row>
    <row r="113" spans="2:12" ht="12.75" customHeight="1" x14ac:dyDescent="0.15">
      <c r="B113" s="41">
        <v>122</v>
      </c>
      <c r="C113" s="655" t="s">
        <v>143</v>
      </c>
      <c r="D113" s="656"/>
      <c r="E113" s="656"/>
      <c r="F113" s="656"/>
      <c r="G113" s="656"/>
      <c r="H113" s="656"/>
      <c r="I113" s="657"/>
      <c r="J113" s="132"/>
      <c r="K113" s="132"/>
      <c r="L113" s="132"/>
    </row>
    <row r="114" spans="2:12" ht="12.75" customHeight="1" x14ac:dyDescent="0.15">
      <c r="B114" s="41">
        <v>123</v>
      </c>
      <c r="C114" s="655" t="s">
        <v>144</v>
      </c>
      <c r="D114" s="656"/>
      <c r="E114" s="656"/>
      <c r="F114" s="656"/>
      <c r="G114" s="656"/>
      <c r="H114" s="656"/>
      <c r="I114" s="657"/>
      <c r="J114" s="132" t="s">
        <v>389</v>
      </c>
      <c r="K114" s="132"/>
      <c r="L114" s="132"/>
    </row>
    <row r="115" spans="2:12" ht="12.75" customHeight="1" x14ac:dyDescent="0.15">
      <c r="B115" s="41">
        <v>130</v>
      </c>
      <c r="C115" s="655" t="s">
        <v>160</v>
      </c>
      <c r="D115" s="656"/>
      <c r="E115" s="656"/>
      <c r="F115" s="656"/>
      <c r="G115" s="656"/>
      <c r="H115" s="656"/>
      <c r="I115" s="657"/>
      <c r="J115" s="132"/>
      <c r="K115" s="132"/>
      <c r="L115" s="132"/>
    </row>
    <row r="116" spans="2:12" ht="12.75" customHeight="1" x14ac:dyDescent="0.15">
      <c r="B116" s="203">
        <v>140</v>
      </c>
      <c r="C116" s="652" t="e">
        <f ca="1">IF(wariant=7,"Korekta pomocy nie jest wymagana.","Nowe parametry gwarancji nie "&amp;IF(AND(jestPomoc,kwotaPomocy=0),"zmieniają wysokości pomocy","")&amp;IF(AND(kwotaPomocy=0,kwotaProwizji=0,jestPomoc,jestProwizja)," ani nie ","")&amp;IF(AND(jestProwizja,kwotaProwizji=0),"generują naliczania prowizji","")&amp;".")</f>
        <v>#N/A</v>
      </c>
      <c r="D116" s="653"/>
      <c r="E116" s="653"/>
      <c r="F116" s="653"/>
      <c r="G116" s="653"/>
      <c r="H116" s="653"/>
      <c r="I116" s="654"/>
      <c r="J116" s="362"/>
      <c r="K116" s="362"/>
      <c r="L116" s="362"/>
    </row>
    <row r="117" spans="2:12" ht="12.75" customHeight="1" x14ac:dyDescent="0.15">
      <c r="B117" s="41">
        <v>141</v>
      </c>
      <c r="C117" s="655" t="s">
        <v>447</v>
      </c>
      <c r="D117" s="656"/>
      <c r="E117" s="656"/>
      <c r="F117" s="656"/>
      <c r="G117" s="656"/>
      <c r="H117" s="656"/>
      <c r="I117" s="657"/>
      <c r="J117" s="132"/>
      <c r="K117" s="132"/>
      <c r="L117" s="132"/>
    </row>
    <row r="118" spans="2:12" ht="12.75" customHeight="1" x14ac:dyDescent="0.15">
      <c r="B118" s="41">
        <v>150</v>
      </c>
      <c r="C118" s="655" t="s">
        <v>394</v>
      </c>
      <c r="D118" s="656"/>
      <c r="E118" s="656"/>
      <c r="F118" s="656"/>
      <c r="G118" s="656"/>
      <c r="H118" s="656"/>
      <c r="I118" s="657"/>
      <c r="J118" s="132" t="s">
        <v>397</v>
      </c>
      <c r="K118" s="132"/>
      <c r="L118" s="132"/>
    </row>
    <row r="119" spans="2:12" ht="12.75" customHeight="1" x14ac:dyDescent="0.15">
      <c r="B119" s="41">
        <v>151</v>
      </c>
      <c r="C119" s="655" t="s">
        <v>395</v>
      </c>
      <c r="D119" s="656"/>
      <c r="E119" s="656"/>
      <c r="F119" s="656"/>
      <c r="G119" s="656"/>
      <c r="H119" s="656"/>
      <c r="I119" s="657"/>
      <c r="J119" s="132" t="str">
        <f>J56</f>
        <v>Pole należy pozostawić puste (wybierz pustą wartość z listy lub wyczyść pole klawiszem DELETE).</v>
      </c>
      <c r="K119" s="132"/>
      <c r="L119" s="132"/>
    </row>
    <row r="120" spans="2:12" ht="12.75" customHeight="1" x14ac:dyDescent="0.15">
      <c r="B120" s="41">
        <v>152</v>
      </c>
      <c r="C120" s="655" t="s">
        <v>396</v>
      </c>
      <c r="D120" s="656"/>
      <c r="E120" s="656"/>
      <c r="F120" s="656"/>
      <c r="G120" s="656"/>
      <c r="H120" s="656"/>
      <c r="I120" s="657"/>
      <c r="J120" s="132"/>
      <c r="K120" s="132"/>
      <c r="L120" s="132"/>
    </row>
    <row r="121" spans="2:12" ht="14.25" customHeight="1" x14ac:dyDescent="0.15">
      <c r="B121" s="41">
        <v>160</v>
      </c>
      <c r="C121" s="655" t="s">
        <v>402</v>
      </c>
      <c r="D121" s="656"/>
      <c r="E121" s="656"/>
      <c r="F121" s="656"/>
      <c r="G121" s="656"/>
      <c r="H121" s="656"/>
      <c r="I121" s="657"/>
      <c r="J121" s="132"/>
      <c r="K121" s="132"/>
      <c r="L121" s="132"/>
    </row>
  </sheetData>
  <sheetProtection sheet="1" selectLockedCells="1" selectUnlockedCells="1"/>
  <mergeCells count="98">
    <mergeCell ref="C70:I70"/>
    <mergeCell ref="C76:I76"/>
    <mergeCell ref="C88:I88"/>
    <mergeCell ref="J26:J27"/>
    <mergeCell ref="C63:I63"/>
    <mergeCell ref="C60:I60"/>
    <mergeCell ref="C51:I51"/>
    <mergeCell ref="C50:I50"/>
    <mergeCell ref="C49:I49"/>
    <mergeCell ref="C52:I52"/>
    <mergeCell ref="C54:I54"/>
    <mergeCell ref="C58:I58"/>
    <mergeCell ref="C48:I48"/>
    <mergeCell ref="C47:I47"/>
    <mergeCell ref="J47:L47"/>
    <mergeCell ref="H26:I26"/>
    <mergeCell ref="C95:I95"/>
    <mergeCell ref="C93:I93"/>
    <mergeCell ref="C94:I94"/>
    <mergeCell ref="C98:I98"/>
    <mergeCell ref="C92:I92"/>
    <mergeCell ref="G12:I12"/>
    <mergeCell ref="G13:I13"/>
    <mergeCell ref="E18:F18"/>
    <mergeCell ref="G18:I18"/>
    <mergeCell ref="G14:I14"/>
    <mergeCell ref="G15:I15"/>
    <mergeCell ref="G16:I16"/>
    <mergeCell ref="E13:F13"/>
    <mergeCell ref="E12:F12"/>
    <mergeCell ref="E15:F15"/>
    <mergeCell ref="E16:F16"/>
    <mergeCell ref="E14:F14"/>
    <mergeCell ref="E17:F17"/>
    <mergeCell ref="G17:I17"/>
    <mergeCell ref="E10:F10"/>
    <mergeCell ref="E11:F11"/>
    <mergeCell ref="G9:I9"/>
    <mergeCell ref="G10:I10"/>
    <mergeCell ref="G11:I11"/>
    <mergeCell ref="D2:E2"/>
    <mergeCell ref="D3:E3"/>
    <mergeCell ref="D5:E5"/>
    <mergeCell ref="D6:E6"/>
    <mergeCell ref="E9:F9"/>
    <mergeCell ref="D4:E4"/>
    <mergeCell ref="D7:E7"/>
    <mergeCell ref="C87:I87"/>
    <mergeCell ref="C71:I71"/>
    <mergeCell ref="C72:I72"/>
    <mergeCell ref="C77:I77"/>
    <mergeCell ref="C75:I75"/>
    <mergeCell ref="C74:I74"/>
    <mergeCell ref="C84:I84"/>
    <mergeCell ref="C73:I73"/>
    <mergeCell ref="C85:I85"/>
    <mergeCell ref="C86:I86"/>
    <mergeCell ref="C83:I83"/>
    <mergeCell ref="C82:I82"/>
    <mergeCell ref="D26:D27"/>
    <mergeCell ref="C64:I64"/>
    <mergeCell ref="C67:I67"/>
    <mergeCell ref="C68:I68"/>
    <mergeCell ref="C69:I69"/>
    <mergeCell ref="C66:I66"/>
    <mergeCell ref="C65:I65"/>
    <mergeCell ref="F26:G26"/>
    <mergeCell ref="E26:E27"/>
    <mergeCell ref="B31:C31"/>
    <mergeCell ref="C26:C27"/>
    <mergeCell ref="C121:I121"/>
    <mergeCell ref="C105:I105"/>
    <mergeCell ref="C104:I104"/>
    <mergeCell ref="C100:I100"/>
    <mergeCell ref="C101:I101"/>
    <mergeCell ref="C103:I103"/>
    <mergeCell ref="C102:I102"/>
    <mergeCell ref="C115:I115"/>
    <mergeCell ref="C111:I111"/>
    <mergeCell ref="C109:I109"/>
    <mergeCell ref="C106:I106"/>
    <mergeCell ref="C107:I107"/>
    <mergeCell ref="C89:I89"/>
    <mergeCell ref="C90:I90"/>
    <mergeCell ref="C120:I120"/>
    <mergeCell ref="C119:I119"/>
    <mergeCell ref="C108:I108"/>
    <mergeCell ref="C117:I117"/>
    <mergeCell ref="C112:I112"/>
    <mergeCell ref="C110:I110"/>
    <mergeCell ref="C118:I118"/>
    <mergeCell ref="C116:I116"/>
    <mergeCell ref="C113:I113"/>
    <mergeCell ref="C114:I114"/>
    <mergeCell ref="C91:I91"/>
    <mergeCell ref="C99:I99"/>
    <mergeCell ref="C97:I97"/>
    <mergeCell ref="C96:I96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theme="1" tint="0.499984740745262"/>
  </sheetPr>
  <dimension ref="A1:L5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52" sqref="G52"/>
    </sheetView>
  </sheetViews>
  <sheetFormatPr defaultColWidth="8.83203125" defaultRowHeight="10.5" x14ac:dyDescent="0.15"/>
  <cols>
    <col min="1" max="1" width="2.5" style="223" customWidth="1"/>
    <col min="2" max="2" width="31.83203125" style="223" bestFit="1" customWidth="1"/>
    <col min="3" max="4" width="27.1640625" style="223" bestFit="1" customWidth="1"/>
    <col min="5" max="5" width="27.83203125" style="223" bestFit="1" customWidth="1"/>
    <col min="6" max="9" width="27.1640625" style="223" bestFit="1" customWidth="1"/>
    <col min="10" max="11" width="27.1640625" style="223" customWidth="1"/>
    <col min="12" max="12" width="27.1640625" style="223" bestFit="1" customWidth="1"/>
    <col min="13" max="15" width="8.83203125" style="223"/>
    <col min="16" max="16" width="10.6640625" style="223" bestFit="1" customWidth="1"/>
    <col min="17" max="16384" width="8.83203125" style="223"/>
  </cols>
  <sheetData>
    <row r="1" spans="1:12" ht="11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45" customHeight="1" x14ac:dyDescent="0.15">
      <c r="A2" s="1"/>
      <c r="B2" s="217" t="s">
        <v>312</v>
      </c>
      <c r="C2" s="218" t="s">
        <v>432</v>
      </c>
      <c r="D2" s="218" t="s">
        <v>433</v>
      </c>
      <c r="E2" s="219" t="s">
        <v>434</v>
      </c>
      <c r="F2" s="218" t="s">
        <v>435</v>
      </c>
      <c r="G2" s="218" t="s">
        <v>436</v>
      </c>
      <c r="H2" s="218" t="s">
        <v>457</v>
      </c>
      <c r="I2" s="219" t="s">
        <v>437</v>
      </c>
      <c r="J2" s="220" t="s">
        <v>438</v>
      </c>
      <c r="K2" s="220" t="s">
        <v>477</v>
      </c>
      <c r="L2" s="220" t="s">
        <v>476</v>
      </c>
    </row>
    <row r="3" spans="1:12" ht="13.5" customHeight="1" thickBot="1" x14ac:dyDescent="0.2">
      <c r="A3" s="1"/>
      <c r="B3" s="221" t="s">
        <v>313</v>
      </c>
      <c r="C3" s="215" t="s">
        <v>280</v>
      </c>
      <c r="D3" s="215" t="s">
        <v>281</v>
      </c>
      <c r="E3" s="216" t="s">
        <v>282</v>
      </c>
      <c r="F3" s="215" t="s">
        <v>283</v>
      </c>
      <c r="G3" s="215" t="s">
        <v>284</v>
      </c>
      <c r="H3" s="215" t="s">
        <v>458</v>
      </c>
      <c r="I3" s="216" t="s">
        <v>285</v>
      </c>
      <c r="J3" s="222" t="s">
        <v>286</v>
      </c>
      <c r="K3" s="399" t="s">
        <v>478</v>
      </c>
      <c r="L3" s="216" t="s">
        <v>473</v>
      </c>
    </row>
    <row r="4" spans="1:12" ht="11.45" customHeight="1" x14ac:dyDescent="0.15">
      <c r="A4" s="1"/>
      <c r="B4" s="680" t="s">
        <v>301</v>
      </c>
      <c r="C4" s="268" t="s">
        <v>302</v>
      </c>
      <c r="D4" s="268"/>
      <c r="E4" s="268" t="s">
        <v>302</v>
      </c>
      <c r="F4" s="268" t="s">
        <v>302</v>
      </c>
      <c r="G4" s="268" t="s">
        <v>302</v>
      </c>
      <c r="H4" s="268" t="s">
        <v>302</v>
      </c>
      <c r="I4" s="386" t="s">
        <v>302</v>
      </c>
      <c r="J4" s="269"/>
      <c r="K4" s="400" t="s">
        <v>302</v>
      </c>
      <c r="L4" s="268" t="s">
        <v>302</v>
      </c>
    </row>
    <row r="5" spans="1:12" ht="11.45" customHeight="1" thickBot="1" x14ac:dyDescent="0.2">
      <c r="A5" s="1"/>
      <c r="B5" s="681"/>
      <c r="C5" s="270"/>
      <c r="D5" s="270"/>
      <c r="E5" s="270" t="s">
        <v>303</v>
      </c>
      <c r="F5" s="270"/>
      <c r="G5" s="270"/>
      <c r="H5" s="270"/>
      <c r="I5" s="387" t="s">
        <v>291</v>
      </c>
      <c r="J5" s="271" t="s">
        <v>291</v>
      </c>
      <c r="K5" s="401" t="s">
        <v>303</v>
      </c>
      <c r="L5" s="270" t="s">
        <v>303</v>
      </c>
    </row>
    <row r="6" spans="1:12" ht="11.45" customHeight="1" x14ac:dyDescent="0.15">
      <c r="A6" s="1"/>
      <c r="B6" s="682" t="s">
        <v>287</v>
      </c>
      <c r="C6" s="272" t="s">
        <v>288</v>
      </c>
      <c r="D6" s="272"/>
      <c r="E6" s="272" t="s">
        <v>288</v>
      </c>
      <c r="F6" s="272" t="s">
        <v>288</v>
      </c>
      <c r="G6" s="272" t="s">
        <v>288</v>
      </c>
      <c r="H6" s="272" t="s">
        <v>288</v>
      </c>
      <c r="I6" s="388" t="s">
        <v>288</v>
      </c>
      <c r="J6" s="273"/>
      <c r="K6" s="402"/>
      <c r="L6" s="272" t="s">
        <v>288</v>
      </c>
    </row>
    <row r="7" spans="1:12" ht="11.45" customHeight="1" thickBot="1" x14ac:dyDescent="0.2">
      <c r="A7" s="1"/>
      <c r="B7" s="683"/>
      <c r="C7" s="274" t="s">
        <v>292</v>
      </c>
      <c r="D7" s="274"/>
      <c r="E7" s="274" t="s">
        <v>292</v>
      </c>
      <c r="F7" s="274" t="s">
        <v>292</v>
      </c>
      <c r="G7" s="274" t="s">
        <v>292</v>
      </c>
      <c r="H7" s="274" t="s">
        <v>292</v>
      </c>
      <c r="I7" s="389" t="s">
        <v>292</v>
      </c>
      <c r="J7" s="275"/>
      <c r="K7" s="403"/>
      <c r="L7" s="274" t="s">
        <v>292</v>
      </c>
    </row>
    <row r="8" spans="1:12" ht="11.45" customHeight="1" x14ac:dyDescent="0.15">
      <c r="A8" s="1"/>
      <c r="B8" s="260" t="s">
        <v>293</v>
      </c>
      <c r="C8" s="379">
        <f ca="1">VLOOKUP("KFG_"&amp;aidDate,$B$46:$G$54,6,TRUE)</f>
        <v>5000000</v>
      </c>
      <c r="D8" s="276">
        <v>480000</v>
      </c>
      <c r="E8" s="276">
        <f>2500000*kursEURO</f>
        <v>-2500000</v>
      </c>
      <c r="F8" s="276">
        <f>2500000*kursEURO</f>
        <v>-2500000</v>
      </c>
      <c r="G8" s="276">
        <v>6720000</v>
      </c>
      <c r="H8" s="379">
        <f>IF(kursEURO&lt;0,actGuar,800000*kursEURO)</f>
        <v>0</v>
      </c>
      <c r="I8" s="390">
        <f ca="1">IF(typKredytu=1,160000*kursEURO,10000000)</f>
        <v>10000000</v>
      </c>
      <c r="J8" s="277">
        <f ca="1">IF(typKredytu=1,160000*kursEURO,5000000)</f>
        <v>5000000</v>
      </c>
      <c r="K8" s="404">
        <f>2500000*kursEURO</f>
        <v>-2500000</v>
      </c>
      <c r="L8" s="276">
        <f>2500000*kursEURO</f>
        <v>-2500000</v>
      </c>
    </row>
    <row r="9" spans="1:12" ht="11.45" customHeight="1" x14ac:dyDescent="0.15">
      <c r="A9" s="1"/>
      <c r="B9" s="261" t="s">
        <v>294</v>
      </c>
      <c r="C9" s="278" t="s">
        <v>295</v>
      </c>
      <c r="D9" s="278" t="s">
        <v>295</v>
      </c>
      <c r="E9" s="278" t="s">
        <v>295</v>
      </c>
      <c r="F9" s="278" t="s">
        <v>295</v>
      </c>
      <c r="G9" s="278" t="s">
        <v>295</v>
      </c>
      <c r="H9" s="278" t="s">
        <v>295</v>
      </c>
      <c r="I9" s="391" t="s">
        <v>295</v>
      </c>
      <c r="J9" s="279" t="s">
        <v>295</v>
      </c>
      <c r="K9" s="405" t="s">
        <v>295</v>
      </c>
      <c r="L9" s="278" t="s">
        <v>295</v>
      </c>
    </row>
    <row r="10" spans="1:12" ht="11.45" customHeight="1" x14ac:dyDescent="0.15">
      <c r="A10" s="1"/>
      <c r="B10" s="261" t="s">
        <v>351</v>
      </c>
      <c r="C10" s="278" t="s">
        <v>297</v>
      </c>
      <c r="D10" s="278" t="s">
        <v>298</v>
      </c>
      <c r="E10" s="278" t="s">
        <v>297</v>
      </c>
      <c r="F10" s="278" t="s">
        <v>297</v>
      </c>
      <c r="G10" s="278" t="s">
        <v>297</v>
      </c>
      <c r="H10" s="278" t="s">
        <v>297</v>
      </c>
      <c r="I10" s="391" t="s">
        <v>297</v>
      </c>
      <c r="J10" s="278" t="s">
        <v>297</v>
      </c>
      <c r="K10" s="278" t="s">
        <v>297</v>
      </c>
      <c r="L10" s="278" t="s">
        <v>297</v>
      </c>
    </row>
    <row r="11" spans="1:12" ht="11.45" customHeight="1" x14ac:dyDescent="0.15">
      <c r="A11" s="1"/>
      <c r="B11" s="261" t="s">
        <v>296</v>
      </c>
      <c r="C11" s="278" t="s">
        <v>297</v>
      </c>
      <c r="D11" s="278" t="s">
        <v>297</v>
      </c>
      <c r="E11" s="278" t="s">
        <v>298</v>
      </c>
      <c r="F11" s="278" t="s">
        <v>298</v>
      </c>
      <c r="G11" s="278" t="s">
        <v>297</v>
      </c>
      <c r="H11" s="293" t="str">
        <f ca="1">IF(wariant=1,"Nie","Tak")</f>
        <v>Tak</v>
      </c>
      <c r="I11" s="391" t="s">
        <v>298</v>
      </c>
      <c r="J11" s="279" t="s">
        <v>298</v>
      </c>
      <c r="K11" s="405" t="s">
        <v>298</v>
      </c>
      <c r="L11" s="278" t="s">
        <v>298</v>
      </c>
    </row>
    <row r="12" spans="1:12" ht="11.45" customHeight="1" thickBot="1" x14ac:dyDescent="0.2">
      <c r="A12" s="1"/>
      <c r="B12" s="262" t="s">
        <v>342</v>
      </c>
      <c r="C12" s="280">
        <f ca="1">VLOOKUP(IF(wariant=0,"KFG_"&amp;Kalkulator!BM45,"KFG_"&amp;aidDate),$B$46:$F$54,4,TRUE)</f>
        <v>5.0000000000000001E-3</v>
      </c>
      <c r="D12" s="280">
        <f ca="1">VLOOKUP("COSME_"&amp;aidDate,$B$46:$F$54,4,TRUE)</f>
        <v>0.01</v>
      </c>
      <c r="E12" s="280">
        <v>0</v>
      </c>
      <c r="F12" s="280">
        <v>0</v>
      </c>
      <c r="G12" s="280">
        <f ca="1">VLOOKUP("KREU_"&amp;aidDate,$B$46:$F$54,4,TRUE)</f>
        <v>0</v>
      </c>
      <c r="H12" s="383">
        <f ca="1">IF(wariant=1,0%,0.2%)</f>
        <v>2E-3</v>
      </c>
      <c r="I12" s="392">
        <v>0</v>
      </c>
      <c r="J12" s="281">
        <v>0</v>
      </c>
      <c r="K12" s="406">
        <v>0</v>
      </c>
      <c r="L12" s="280">
        <v>0</v>
      </c>
    </row>
    <row r="13" spans="1:12" ht="11.45" customHeight="1" x14ac:dyDescent="0.15">
      <c r="A13" s="1"/>
      <c r="B13" s="684" t="s">
        <v>161</v>
      </c>
      <c r="C13" s="282" t="s">
        <v>404</v>
      </c>
      <c r="D13" s="282" t="s">
        <v>404</v>
      </c>
      <c r="E13" s="283" t="s">
        <v>404</v>
      </c>
      <c r="F13" s="283"/>
      <c r="G13" s="282" t="s">
        <v>404</v>
      </c>
      <c r="H13" s="283"/>
      <c r="I13" s="393" t="s">
        <v>404</v>
      </c>
      <c r="J13" s="284" t="s">
        <v>404</v>
      </c>
      <c r="K13" s="407" t="s">
        <v>299</v>
      </c>
      <c r="L13" s="283" t="s">
        <v>404</v>
      </c>
    </row>
    <row r="14" spans="1:12" ht="11.45" customHeight="1" x14ac:dyDescent="0.15">
      <c r="A14" s="1"/>
      <c r="B14" s="685"/>
      <c r="C14" s="285" t="s">
        <v>405</v>
      </c>
      <c r="D14" s="285" t="s">
        <v>405</v>
      </c>
      <c r="E14" s="286" t="s">
        <v>405</v>
      </c>
      <c r="F14" s="286" t="s">
        <v>405</v>
      </c>
      <c r="G14" s="285" t="s">
        <v>405</v>
      </c>
      <c r="H14" s="286"/>
      <c r="I14" s="394" t="s">
        <v>405</v>
      </c>
      <c r="J14" s="287" t="s">
        <v>405</v>
      </c>
      <c r="K14" s="408"/>
      <c r="L14" s="286" t="s">
        <v>405</v>
      </c>
    </row>
    <row r="15" spans="1:12" ht="11.45" customHeight="1" x14ac:dyDescent="0.15">
      <c r="A15" s="1"/>
      <c r="B15" s="685"/>
      <c r="C15" s="285" t="s">
        <v>299</v>
      </c>
      <c r="D15" s="285" t="s">
        <v>299</v>
      </c>
      <c r="E15" s="286" t="s">
        <v>299</v>
      </c>
      <c r="F15" s="286" t="s">
        <v>299</v>
      </c>
      <c r="G15" s="286" t="s">
        <v>299</v>
      </c>
      <c r="H15" s="286"/>
      <c r="I15" s="394" t="s">
        <v>299</v>
      </c>
      <c r="J15" s="287" t="s">
        <v>299</v>
      </c>
      <c r="K15" s="408"/>
      <c r="L15" s="286" t="s">
        <v>299</v>
      </c>
    </row>
    <row r="16" spans="1:12" ht="11.45" customHeight="1" thickBot="1" x14ac:dyDescent="0.2">
      <c r="A16" s="1"/>
      <c r="B16" s="686"/>
      <c r="C16" s="288" t="s">
        <v>201</v>
      </c>
      <c r="D16" s="288" t="s">
        <v>201</v>
      </c>
      <c r="E16" s="289"/>
      <c r="F16" s="289"/>
      <c r="G16" s="288" t="s">
        <v>201</v>
      </c>
      <c r="H16" s="289"/>
      <c r="I16" s="395"/>
      <c r="J16" s="290"/>
      <c r="K16" s="409"/>
      <c r="L16" s="289"/>
    </row>
    <row r="17" spans="1:12" ht="11.45" customHeight="1" thickBot="1" x14ac:dyDescent="0.2">
      <c r="A17" s="1"/>
      <c r="B17" s="263" t="s">
        <v>304</v>
      </c>
      <c r="C17" s="291" t="s">
        <v>305</v>
      </c>
      <c r="D17" s="291" t="s">
        <v>305</v>
      </c>
      <c r="E17" s="291" t="s">
        <v>306</v>
      </c>
      <c r="F17" s="291" t="s">
        <v>306</v>
      </c>
      <c r="G17" s="291" t="s">
        <v>305</v>
      </c>
      <c r="H17" s="291" t="s">
        <v>305</v>
      </c>
      <c r="I17" s="396" t="s">
        <v>305</v>
      </c>
      <c r="J17" s="292" t="s">
        <v>305</v>
      </c>
      <c r="K17" s="410" t="s">
        <v>305</v>
      </c>
      <c r="L17" s="291" t="s">
        <v>305</v>
      </c>
    </row>
    <row r="18" spans="1:12" ht="11.45" customHeight="1" x14ac:dyDescent="0.15">
      <c r="A18" s="1"/>
      <c r="B18" s="264" t="s">
        <v>406</v>
      </c>
      <c r="C18" s="283">
        <f ca="1">VLOOKUP("KFG_"&amp;aidDate,$B$46:$F$54,5,TRUE)</f>
        <v>60</v>
      </c>
      <c r="D18" s="283">
        <f ca="1">VLOOKUP("COSME_"&amp;aidDate,$B$46:$F$54,5,TRUE)</f>
        <v>27</v>
      </c>
      <c r="E18" s="283">
        <v>39</v>
      </c>
      <c r="F18" s="283">
        <v>0</v>
      </c>
      <c r="G18" s="283">
        <v>27</v>
      </c>
      <c r="H18" s="283"/>
      <c r="I18" s="393">
        <v>39</v>
      </c>
      <c r="J18" s="284">
        <v>39</v>
      </c>
      <c r="K18" s="407"/>
      <c r="L18" s="283">
        <v>63</v>
      </c>
    </row>
    <row r="19" spans="1:12" ht="11.45" customHeight="1" x14ac:dyDescent="0.15">
      <c r="A19" s="1"/>
      <c r="B19" s="265" t="s">
        <v>407</v>
      </c>
      <c r="C19" s="286">
        <f ca="1">C18</f>
        <v>60</v>
      </c>
      <c r="D19" s="286">
        <f ca="1">D18</f>
        <v>27</v>
      </c>
      <c r="E19" s="286">
        <v>240</v>
      </c>
      <c r="F19" s="286">
        <v>240</v>
      </c>
      <c r="G19" s="286">
        <v>27</v>
      </c>
      <c r="H19" s="286">
        <v>120</v>
      </c>
      <c r="I19" s="394">
        <v>51</v>
      </c>
      <c r="J19" s="287">
        <v>51</v>
      </c>
      <c r="K19" s="408"/>
      <c r="L19" s="286">
        <v>63</v>
      </c>
    </row>
    <row r="20" spans="1:12" ht="11.45" customHeight="1" x14ac:dyDescent="0.15">
      <c r="A20" s="1"/>
      <c r="B20" s="265" t="s">
        <v>307</v>
      </c>
      <c r="C20" s="293">
        <f ca="1">IF(aidDate&gt;=44197,120,99)</f>
        <v>120</v>
      </c>
      <c r="D20" s="286">
        <v>99</v>
      </c>
      <c r="E20" s="286">
        <v>240</v>
      </c>
      <c r="F20" s="286">
        <v>240</v>
      </c>
      <c r="G20" s="286">
        <v>99</v>
      </c>
      <c r="H20" s="286"/>
      <c r="I20" s="397">
        <f ca="1">IF(nr_pomoc=2,183,120)</f>
        <v>120</v>
      </c>
      <c r="J20" s="287">
        <v>183</v>
      </c>
      <c r="K20" s="413">
        <f ca="1">IF(nr_pomoc=1,120,240)</f>
        <v>240</v>
      </c>
      <c r="L20" s="293">
        <f ca="1">IF(nr_pomoc=1,120,240)</f>
        <v>240</v>
      </c>
    </row>
    <row r="21" spans="1:12" ht="11.45" customHeight="1" thickBot="1" x14ac:dyDescent="0.2">
      <c r="A21" s="1"/>
      <c r="B21" s="266" t="s">
        <v>320</v>
      </c>
      <c r="C21" s="289">
        <f ca="1">C18</f>
        <v>60</v>
      </c>
      <c r="D21" s="289">
        <f ca="1">D18</f>
        <v>27</v>
      </c>
      <c r="E21" s="289">
        <v>0</v>
      </c>
      <c r="F21" s="289">
        <v>0</v>
      </c>
      <c r="G21" s="289">
        <v>27</v>
      </c>
      <c r="H21" s="289"/>
      <c r="I21" s="395">
        <v>0</v>
      </c>
      <c r="J21" s="290">
        <v>0</v>
      </c>
      <c r="K21" s="409"/>
      <c r="L21" s="289">
        <v>0</v>
      </c>
    </row>
    <row r="22" spans="1:12" ht="11.45" customHeight="1" x14ac:dyDescent="0.15">
      <c r="A22" s="1"/>
      <c r="B22" s="260" t="s">
        <v>408</v>
      </c>
      <c r="C22" s="294">
        <f ca="1">IF(OR(wariant=3,wariant=4),147,C18)</f>
        <v>60</v>
      </c>
      <c r="D22" s="294">
        <f ca="1">IF(OR(wariant=3,wariant=4),108,D18)</f>
        <v>27</v>
      </c>
      <c r="E22" s="294">
        <f ca="1">IF(OR(wariant=3,wariant=4),240,E18)</f>
        <v>39</v>
      </c>
      <c r="F22" s="294">
        <f ca="1">IF(OR(wariant=3,wariant=4),0,F18)</f>
        <v>0</v>
      </c>
      <c r="G22" s="294">
        <f ca="1">IF(OR(wariant=3,wariant=4),60,G18)</f>
        <v>27</v>
      </c>
      <c r="H22" s="294"/>
      <c r="I22" s="398">
        <f ca="1">IF(OR(wariant=3,wariant=4),147,I18)</f>
        <v>39</v>
      </c>
      <c r="J22" s="295">
        <f ca="1">IF(OR(wariant=3,wariant=4),147,J18)</f>
        <v>39</v>
      </c>
      <c r="K22" s="411"/>
      <c r="L22" s="294">
        <f ca="1">IF(OR(wariant=3,wariant=4),240,L18)</f>
        <v>63</v>
      </c>
    </row>
    <row r="23" spans="1:12" ht="11.45" customHeight="1" x14ac:dyDescent="0.15">
      <c r="A23" s="1"/>
      <c r="B23" s="261" t="s">
        <v>409</v>
      </c>
      <c r="C23" s="294">
        <f ca="1">IF(OR(wariant=3,wariant=4),147,C19)</f>
        <v>60</v>
      </c>
      <c r="D23" s="294">
        <f ca="1">IF(OR(wariant=3,wariant=4),219,D19)</f>
        <v>27</v>
      </c>
      <c r="E23" s="294">
        <f ca="1">IF(OR(wariant=3,wariant=4),240,E19)</f>
        <v>240</v>
      </c>
      <c r="F23" s="294">
        <f ca="1">IF(OR(wariant=3,wariant=4),240,F19)</f>
        <v>240</v>
      </c>
      <c r="G23" s="294">
        <f ca="1">IF(OR(wariant=3,wariant=4),120,G19)</f>
        <v>27</v>
      </c>
      <c r="H23" s="293">
        <f ca="1">IF(wariant=8,120,180)</f>
        <v>180</v>
      </c>
      <c r="I23" s="398">
        <f ca="1">IF(OR(wariant=3,wariant=4),147,I19)</f>
        <v>51</v>
      </c>
      <c r="J23" s="295">
        <f ca="1">IF(OR(wariant=3,wariant=4),147,J19)</f>
        <v>51</v>
      </c>
      <c r="K23" s="411"/>
      <c r="L23" s="294">
        <f ca="1">IF(OR(wariant=3,wariant=4),240,L19)</f>
        <v>63</v>
      </c>
    </row>
    <row r="24" spans="1:12" ht="11.45" customHeight="1" x14ac:dyDescent="0.15">
      <c r="A24" s="1"/>
      <c r="B24" s="261" t="s">
        <v>308</v>
      </c>
      <c r="C24" s="294">
        <f ca="1">IF(OR(wariant=3,wariant=4),219,C20)</f>
        <v>120</v>
      </c>
      <c r="D24" s="294">
        <f ca="1">IF(OR(wariant=3,wariant=4),219,D20)</f>
        <v>99</v>
      </c>
      <c r="E24" s="294">
        <f ca="1">IF(OR(wariant=3,wariant=4),240,E20)</f>
        <v>240</v>
      </c>
      <c r="F24" s="294">
        <f ca="1">IF(OR(wariant=3,wariant=4),240,F20)</f>
        <v>240</v>
      </c>
      <c r="G24" s="294">
        <f ca="1">IF(OR(wariant=3,wariant=4),120,G20)</f>
        <v>99</v>
      </c>
      <c r="H24" s="294"/>
      <c r="I24" s="398">
        <f ca="1">IF(OR(wariant=3,wariant=4),219,I20)</f>
        <v>120</v>
      </c>
      <c r="J24" s="295">
        <f ca="1">IF(OR(wariant=3,wariant=4),219,J20)</f>
        <v>183</v>
      </c>
      <c r="K24" s="411">
        <f ca="1">IF(OR(wariant=3,wariant=4),240,K20)</f>
        <v>240</v>
      </c>
      <c r="L24" s="294">
        <f ca="1">IF(OR(wariant=3,wariant=4),240,L20)</f>
        <v>240</v>
      </c>
    </row>
    <row r="25" spans="1:12" ht="11.45" customHeight="1" thickBot="1" x14ac:dyDescent="0.2">
      <c r="A25" s="1"/>
      <c r="B25" s="262" t="s">
        <v>309</v>
      </c>
      <c r="C25" s="291">
        <f ca="1">IF(OR(wariant=3,wariant=4),147,C21)</f>
        <v>60</v>
      </c>
      <c r="D25" s="291">
        <f ca="1">IF(OR(wariant=3,wariant=4),108,D21)</f>
        <v>27</v>
      </c>
      <c r="E25" s="291">
        <f ca="1">IF(OR(wariant=3,wariant=4),0,E21)</f>
        <v>0</v>
      </c>
      <c r="F25" s="291">
        <f ca="1">IF(OR(wariant=3,wariant=4),0,F21)</f>
        <v>0</v>
      </c>
      <c r="G25" s="291">
        <f ca="1">IF(OR(wariant=3,wariant=4),60,G21)</f>
        <v>27</v>
      </c>
      <c r="H25" s="291"/>
      <c r="I25" s="396">
        <f ca="1">IF(OR(wariant=3,wariant=4),0,I21)</f>
        <v>0</v>
      </c>
      <c r="J25" s="292">
        <f ca="1">IF(OR(wariant=3,wariant=4),0,J21)</f>
        <v>0</v>
      </c>
      <c r="K25" s="410"/>
      <c r="L25" s="291">
        <f ca="1">IF(OR(wariant=3,wariant=4),0,L21)</f>
        <v>0</v>
      </c>
    </row>
    <row r="26" spans="1:12" ht="11.45" customHeight="1" x14ac:dyDescent="0.15">
      <c r="A26" s="1"/>
      <c r="B26" s="684" t="s">
        <v>316</v>
      </c>
      <c r="C26" s="283" t="s">
        <v>93</v>
      </c>
      <c r="D26" s="283" t="s">
        <v>93</v>
      </c>
      <c r="E26" s="283"/>
      <c r="F26" s="283"/>
      <c r="G26" s="283" t="s">
        <v>93</v>
      </c>
      <c r="H26" s="283" t="s">
        <v>93</v>
      </c>
      <c r="I26" s="393"/>
      <c r="J26" s="284"/>
      <c r="K26" s="407"/>
      <c r="L26" s="283"/>
    </row>
    <row r="27" spans="1:12" ht="11.45" customHeight="1" x14ac:dyDescent="0.15">
      <c r="A27" s="1"/>
      <c r="B27" s="685"/>
      <c r="C27" s="286" t="s">
        <v>1</v>
      </c>
      <c r="D27" s="286" t="s">
        <v>3</v>
      </c>
      <c r="E27" s="286" t="s">
        <v>1</v>
      </c>
      <c r="F27" s="286" t="s">
        <v>1</v>
      </c>
      <c r="G27" s="286" t="s">
        <v>1</v>
      </c>
      <c r="H27" s="286" t="s">
        <v>1</v>
      </c>
      <c r="I27" s="394" t="s">
        <v>1</v>
      </c>
      <c r="J27" s="287" t="s">
        <v>1</v>
      </c>
      <c r="K27" s="408" t="s">
        <v>1</v>
      </c>
      <c r="L27" s="286" t="s">
        <v>1</v>
      </c>
    </row>
    <row r="28" spans="1:12" ht="11.45" customHeight="1" x14ac:dyDescent="0.15">
      <c r="A28" s="1"/>
      <c r="B28" s="685"/>
      <c r="C28" s="286" t="s">
        <v>2</v>
      </c>
      <c r="D28" s="286" t="s">
        <v>4</v>
      </c>
      <c r="E28" s="286" t="s">
        <v>2</v>
      </c>
      <c r="F28" s="286" t="s">
        <v>2</v>
      </c>
      <c r="G28" s="286" t="s">
        <v>2</v>
      </c>
      <c r="H28" s="286" t="s">
        <v>2</v>
      </c>
      <c r="I28" s="394" t="s">
        <v>2</v>
      </c>
      <c r="J28" s="287" t="s">
        <v>2</v>
      </c>
      <c r="K28" s="408" t="s">
        <v>2</v>
      </c>
      <c r="L28" s="286" t="s">
        <v>2</v>
      </c>
    </row>
    <row r="29" spans="1:12" ht="11.45" customHeight="1" x14ac:dyDescent="0.15">
      <c r="A29" s="1"/>
      <c r="B29" s="685"/>
      <c r="C29" s="286" t="s">
        <v>3</v>
      </c>
      <c r="D29" s="286"/>
      <c r="E29" s="286" t="s">
        <v>3</v>
      </c>
      <c r="F29" s="286" t="s">
        <v>3</v>
      </c>
      <c r="G29" s="286" t="s">
        <v>3</v>
      </c>
      <c r="H29" s="286" t="s">
        <v>3</v>
      </c>
      <c r="I29" s="394" t="s">
        <v>3</v>
      </c>
      <c r="J29" s="287" t="s">
        <v>3</v>
      </c>
      <c r="K29" s="408" t="s">
        <v>3</v>
      </c>
      <c r="L29" s="286" t="s">
        <v>3</v>
      </c>
    </row>
    <row r="30" spans="1:12" ht="11.45" customHeight="1" x14ac:dyDescent="0.15">
      <c r="A30" s="1"/>
      <c r="B30" s="685"/>
      <c r="C30" s="286" t="s">
        <v>4</v>
      </c>
      <c r="D30" s="286"/>
      <c r="E30" s="286" t="s">
        <v>4</v>
      </c>
      <c r="F30" s="286" t="s">
        <v>4</v>
      </c>
      <c r="G30" s="286" t="s">
        <v>4</v>
      </c>
      <c r="H30" s="286" t="s">
        <v>4</v>
      </c>
      <c r="I30" s="394" t="s">
        <v>4</v>
      </c>
      <c r="J30" s="287" t="s">
        <v>4</v>
      </c>
      <c r="K30" s="408" t="s">
        <v>4</v>
      </c>
      <c r="L30" s="286" t="s">
        <v>4</v>
      </c>
    </row>
    <row r="31" spans="1:12" ht="11.45" customHeight="1" x14ac:dyDescent="0.15">
      <c r="A31" s="1"/>
      <c r="B31" s="685"/>
      <c r="C31" s="286" t="s">
        <v>5</v>
      </c>
      <c r="D31" s="286"/>
      <c r="E31" s="286" t="s">
        <v>5</v>
      </c>
      <c r="F31" s="286" t="s">
        <v>5</v>
      </c>
      <c r="G31" s="286" t="s">
        <v>5</v>
      </c>
      <c r="H31" s="286" t="s">
        <v>5</v>
      </c>
      <c r="I31" s="394" t="s">
        <v>5</v>
      </c>
      <c r="J31" s="287" t="s">
        <v>5</v>
      </c>
      <c r="K31" s="408" t="s">
        <v>5</v>
      </c>
      <c r="L31" s="286" t="s">
        <v>5</v>
      </c>
    </row>
    <row r="32" spans="1:12" ht="11.45" customHeight="1" x14ac:dyDescent="0.15">
      <c r="A32" s="1"/>
      <c r="B32" s="685"/>
      <c r="C32" s="286" t="s">
        <v>48</v>
      </c>
      <c r="D32" s="286"/>
      <c r="E32" s="286" t="s">
        <v>48</v>
      </c>
      <c r="F32" s="286" t="s">
        <v>48</v>
      </c>
      <c r="G32" s="286" t="s">
        <v>48</v>
      </c>
      <c r="H32" s="286" t="s">
        <v>48</v>
      </c>
      <c r="I32" s="394" t="s">
        <v>48</v>
      </c>
      <c r="J32" s="287" t="s">
        <v>48</v>
      </c>
      <c r="K32" s="408" t="s">
        <v>48</v>
      </c>
      <c r="L32" s="286" t="s">
        <v>48</v>
      </c>
    </row>
    <row r="33" spans="1:12" ht="11.45" customHeight="1" thickBot="1" x14ac:dyDescent="0.2">
      <c r="A33" s="1"/>
      <c r="B33" s="686"/>
      <c r="C33" s="289"/>
      <c r="D33" s="289"/>
      <c r="E33" s="289" t="s">
        <v>377</v>
      </c>
      <c r="F33" s="289" t="s">
        <v>377</v>
      </c>
      <c r="G33" s="289"/>
      <c r="H33" s="289" t="s">
        <v>461</v>
      </c>
      <c r="I33" s="395"/>
      <c r="J33" s="290"/>
      <c r="K33" s="409"/>
      <c r="L33" s="289"/>
    </row>
    <row r="34" spans="1:12" ht="11.45" customHeight="1" x14ac:dyDescent="0.15">
      <c r="A34" s="1"/>
      <c r="B34" s="687" t="s">
        <v>401</v>
      </c>
      <c r="C34" s="294"/>
      <c r="D34" s="294"/>
      <c r="E34" s="294" t="s">
        <v>398</v>
      </c>
      <c r="F34" s="294" t="s">
        <v>398</v>
      </c>
      <c r="G34" s="294"/>
      <c r="H34" s="294"/>
      <c r="I34" s="398"/>
      <c r="J34" s="268"/>
      <c r="K34" s="412"/>
      <c r="L34" s="294"/>
    </row>
    <row r="35" spans="1:12" ht="11.45" customHeight="1" x14ac:dyDescent="0.15">
      <c r="A35" s="1"/>
      <c r="B35" s="688"/>
      <c r="C35" s="294"/>
      <c r="D35" s="294"/>
      <c r="E35" s="294" t="s">
        <v>399</v>
      </c>
      <c r="F35" s="294" t="s">
        <v>399</v>
      </c>
      <c r="G35" s="375"/>
      <c r="H35" s="294"/>
      <c r="I35" s="398"/>
      <c r="J35" s="294"/>
      <c r="K35" s="412"/>
      <c r="L35" s="294"/>
    </row>
    <row r="36" spans="1:12" ht="11.45" customHeight="1" x14ac:dyDescent="0.15">
      <c r="A36" s="1"/>
      <c r="B36" s="689"/>
      <c r="C36" s="294"/>
      <c r="D36" s="294"/>
      <c r="E36" s="294" t="s">
        <v>303</v>
      </c>
      <c r="F36" s="294"/>
      <c r="G36" s="294"/>
      <c r="H36" s="294"/>
      <c r="I36" s="398"/>
      <c r="J36" s="294"/>
      <c r="K36" s="412"/>
      <c r="L36" s="294"/>
    </row>
    <row r="37" spans="1:12" ht="12.75" customHeight="1" x14ac:dyDescent="0.15">
      <c r="A37" s="1"/>
      <c r="B37" s="374" t="s">
        <v>448</v>
      </c>
      <c r="C37" s="294">
        <f>IF(typKredytuOpis="inwestycyjny",219,147)</f>
        <v>147</v>
      </c>
      <c r="D37" s="294">
        <f>IF(OR(typKredytuOpis="inwestycyjny",typKredytuOpis="obrotowy nieodnawialny"),219,108)</f>
        <v>219</v>
      </c>
      <c r="E37" s="294">
        <v>240</v>
      </c>
      <c r="F37" s="294">
        <v>240</v>
      </c>
      <c r="G37" s="294">
        <f>IF(OR(typKredytuOpis="inwestycyjny",typKredytuOpis="obrotowy nieodnawialny"),120,60)</f>
        <v>120</v>
      </c>
      <c r="H37" s="294">
        <v>180</v>
      </c>
      <c r="I37" s="398">
        <f>IF(typKredytuOpis="inwestycyjny",219,147)</f>
        <v>147</v>
      </c>
      <c r="J37" s="294">
        <f>IF(typKredytuOpis="inwestycyjny",219,147)</f>
        <v>147</v>
      </c>
      <c r="K37" s="398">
        <v>240</v>
      </c>
      <c r="L37" s="294">
        <v>240</v>
      </c>
    </row>
    <row r="38" spans="1:1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7.25" customHeight="1" x14ac:dyDescent="0.15">
      <c r="A39" s="1"/>
      <c r="B39" s="300" t="s">
        <v>300</v>
      </c>
      <c r="C39" s="49"/>
      <c r="D39" s="247" t="s">
        <v>310</v>
      </c>
      <c r="E39" s="248"/>
      <c r="F39" s="249"/>
    </row>
    <row r="40" spans="1:12" ht="12.75" customHeight="1" x14ac:dyDescent="0.15">
      <c r="A40" s="1"/>
      <c r="B40" s="296" t="s">
        <v>302</v>
      </c>
      <c r="C40" s="301">
        <v>1</v>
      </c>
      <c r="D40" s="677" t="s">
        <v>413</v>
      </c>
      <c r="E40" s="678"/>
      <c r="F40" s="679"/>
    </row>
    <row r="41" spans="1:12" ht="12.75" customHeight="1" x14ac:dyDescent="0.15">
      <c r="A41" s="1"/>
      <c r="B41" s="297" t="s">
        <v>311</v>
      </c>
      <c r="C41" s="302" t="s">
        <v>379</v>
      </c>
      <c r="D41" s="677" t="s">
        <v>414</v>
      </c>
      <c r="E41" s="678"/>
      <c r="F41" s="679"/>
    </row>
    <row r="42" spans="1:12" ht="12.75" customHeight="1" x14ac:dyDescent="0.15">
      <c r="A42" s="1"/>
      <c r="B42" s="297" t="s">
        <v>291</v>
      </c>
      <c r="C42" s="302">
        <v>2</v>
      </c>
      <c r="D42" s="677" t="str">
        <f>""</f>
        <v/>
      </c>
      <c r="E42" s="678"/>
      <c r="F42" s="679"/>
    </row>
    <row r="43" spans="1:12" ht="12.75" customHeight="1" x14ac:dyDescent="0.15">
      <c r="A43" s="1"/>
      <c r="B43" s="297" t="s">
        <v>303</v>
      </c>
      <c r="C43" s="302">
        <v>3</v>
      </c>
      <c r="D43" s="677" t="str">
        <f>""</f>
        <v/>
      </c>
      <c r="E43" s="678"/>
      <c r="F43" s="679"/>
    </row>
    <row r="44" spans="1:12" x14ac:dyDescent="0.15">
      <c r="A44" s="267"/>
      <c r="F44" s="267"/>
      <c r="G44" s="267"/>
      <c r="H44" s="267"/>
      <c r="I44" s="267"/>
      <c r="J44" s="267"/>
      <c r="K44" s="267"/>
      <c r="L44" s="267"/>
    </row>
    <row r="45" spans="1:12" ht="14.45" customHeight="1" x14ac:dyDescent="0.15">
      <c r="B45" s="300" t="s">
        <v>451</v>
      </c>
      <c r="C45" s="49" t="s">
        <v>450</v>
      </c>
      <c r="D45" s="377" t="s">
        <v>449</v>
      </c>
      <c r="E45" s="49" t="s">
        <v>446</v>
      </c>
      <c r="F45" s="49" t="s">
        <v>455</v>
      </c>
      <c r="G45" s="49" t="s">
        <v>472</v>
      </c>
    </row>
    <row r="46" spans="1:12" x14ac:dyDescent="0.15">
      <c r="B46" s="371" t="str">
        <f t="shared" ref="B46:B51" si="0">C46&amp;"_"&amp;D46</f>
        <v>COSME_41275</v>
      </c>
      <c r="C46" s="371" t="s">
        <v>281</v>
      </c>
      <c r="D46" s="371">
        <v>41275</v>
      </c>
      <c r="E46" s="372">
        <v>0.01</v>
      </c>
      <c r="F46" s="373">
        <v>27</v>
      </c>
      <c r="G46" s="373"/>
    </row>
    <row r="47" spans="1:12" x14ac:dyDescent="0.15">
      <c r="B47" s="371" t="str">
        <f t="shared" si="0"/>
        <v>COSME_43927</v>
      </c>
      <c r="C47" s="371" t="s">
        <v>281</v>
      </c>
      <c r="D47" s="371">
        <v>43927</v>
      </c>
      <c r="E47" s="378">
        <f>IF(typKredytuOpis="inwestycyjny",1%,0.7%)</f>
        <v>6.9999999999999993E-3</v>
      </c>
      <c r="F47" s="373">
        <v>39</v>
      </c>
      <c r="G47" s="373"/>
    </row>
    <row r="48" spans="1:12" x14ac:dyDescent="0.15">
      <c r="B48" s="371" t="s">
        <v>456</v>
      </c>
      <c r="C48" s="371" t="s">
        <v>281</v>
      </c>
      <c r="D48" s="371">
        <v>44562</v>
      </c>
      <c r="E48" s="372">
        <v>0.01</v>
      </c>
      <c r="F48" s="373">
        <v>27</v>
      </c>
      <c r="G48" s="373"/>
    </row>
    <row r="49" spans="2:7" x14ac:dyDescent="0.15">
      <c r="B49" s="371" t="str">
        <f t="shared" si="0"/>
        <v>KFG_41275</v>
      </c>
      <c r="C49" s="371" t="s">
        <v>280</v>
      </c>
      <c r="D49" s="371">
        <v>41275</v>
      </c>
      <c r="E49" s="372">
        <v>5.0000000000000001E-3</v>
      </c>
      <c r="F49" s="373">
        <v>27</v>
      </c>
      <c r="G49" s="385">
        <v>3500000</v>
      </c>
    </row>
    <row r="50" spans="2:7" x14ac:dyDescent="0.15">
      <c r="B50" s="371" t="str">
        <f t="shared" si="0"/>
        <v>KFG_43909</v>
      </c>
      <c r="C50" s="371" t="s">
        <v>280</v>
      </c>
      <c r="D50" s="371">
        <v>43909</v>
      </c>
      <c r="E50" s="372">
        <v>0</v>
      </c>
      <c r="F50" s="373">
        <v>39</v>
      </c>
      <c r="G50" s="385">
        <v>3500000</v>
      </c>
    </row>
    <row r="51" spans="2:7" x14ac:dyDescent="0.15">
      <c r="B51" s="371" t="str">
        <f t="shared" si="0"/>
        <v>KFG_44197</v>
      </c>
      <c r="C51" s="371" t="s">
        <v>280</v>
      </c>
      <c r="D51" s="371">
        <v>44197</v>
      </c>
      <c r="E51" s="372">
        <v>0</v>
      </c>
      <c r="F51" s="373">
        <v>75</v>
      </c>
      <c r="G51" s="385">
        <f>MAX(actGuar+1,newGuar+1)</f>
        <v>1</v>
      </c>
    </row>
    <row r="52" spans="2:7" x14ac:dyDescent="0.15">
      <c r="B52" s="371" t="str">
        <f>C52&amp;"_"&amp;D52</f>
        <v>KFG_45292</v>
      </c>
      <c r="C52" s="371" t="s">
        <v>280</v>
      </c>
      <c r="D52" s="371">
        <v>45292</v>
      </c>
      <c r="E52" s="372">
        <v>5.0000000000000001E-3</v>
      </c>
      <c r="F52" s="373">
        <v>60</v>
      </c>
      <c r="G52" s="385">
        <v>5000000</v>
      </c>
    </row>
    <row r="53" spans="2:7" x14ac:dyDescent="0.15">
      <c r="B53" s="371" t="str">
        <f>C53&amp;"_"&amp;D53</f>
        <v>KREU_41275</v>
      </c>
      <c r="C53" s="371" t="s">
        <v>284</v>
      </c>
      <c r="D53" s="371">
        <v>41275</v>
      </c>
      <c r="E53" s="372">
        <v>2.5000000000000001E-3</v>
      </c>
      <c r="F53" s="373">
        <v>27</v>
      </c>
      <c r="G53" s="373"/>
    </row>
    <row r="54" spans="2:7" x14ac:dyDescent="0.15">
      <c r="B54" s="371" t="str">
        <f>C54&amp;"_"&amp;D54</f>
        <v>KREU_44197</v>
      </c>
      <c r="C54" s="371" t="s">
        <v>284</v>
      </c>
      <c r="D54" s="371">
        <v>44197</v>
      </c>
      <c r="E54" s="372">
        <v>0</v>
      </c>
      <c r="F54" s="373">
        <v>27</v>
      </c>
      <c r="G54" s="373"/>
    </row>
  </sheetData>
  <sheetProtection sheet="1" selectLockedCells="1" selectUnlockedCells="1"/>
  <autoFilter ref="B45:G45" xr:uid="{00000000-0009-0000-0000-000004000000}"/>
  <mergeCells count="9">
    <mergeCell ref="D43:F43"/>
    <mergeCell ref="D42:F42"/>
    <mergeCell ref="D41:F41"/>
    <mergeCell ref="D40:F40"/>
    <mergeCell ref="B4:B5"/>
    <mergeCell ref="B6:B7"/>
    <mergeCell ref="B13:B16"/>
    <mergeCell ref="B26:B33"/>
    <mergeCell ref="B34:B3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B0B0B0"/>
  </sheetPr>
  <dimension ref="A1:T56"/>
  <sheetViews>
    <sheetView zoomScale="102" workbookViewId="0">
      <pane ySplit="3" topLeftCell="A22" activePane="bottomLeft" state="frozen"/>
      <selection pane="bottomLeft" activeCell="B45" sqref="B45"/>
    </sheetView>
  </sheetViews>
  <sheetFormatPr defaultColWidth="8.83203125" defaultRowHeight="10.5" x14ac:dyDescent="0.15"/>
  <cols>
    <col min="1" max="1" width="4.5" style="223" customWidth="1"/>
    <col min="2" max="2" width="27.83203125" style="223" bestFit="1" customWidth="1"/>
    <col min="3" max="3" width="13.83203125" style="223" bestFit="1" customWidth="1"/>
    <col min="4" max="5" width="12.5" style="223" bestFit="1" customWidth="1"/>
    <col min="6" max="6" width="14.5" style="223" bestFit="1" customWidth="1"/>
    <col min="7" max="7" width="11.5" style="223" bestFit="1" customWidth="1"/>
    <col min="8" max="8" width="10.5" style="223" customWidth="1"/>
    <col min="9" max="9" width="12" style="223" bestFit="1" customWidth="1"/>
    <col min="10" max="10" width="13.5" style="223" bestFit="1" customWidth="1"/>
    <col min="11" max="11" width="12.33203125" style="223" bestFit="1" customWidth="1"/>
    <col min="12" max="12" width="7.5" style="223" bestFit="1" customWidth="1"/>
    <col min="13" max="13" width="6.33203125" style="223" bestFit="1" customWidth="1"/>
    <col min="14" max="14" width="13.83203125" style="223" customWidth="1"/>
    <col min="15" max="15" width="13.5" style="223" bestFit="1" customWidth="1"/>
    <col min="16" max="16" width="7.1640625" style="223" customWidth="1"/>
    <col min="17" max="17" width="14.5" style="223" bestFit="1" customWidth="1"/>
    <col min="18" max="18" width="14.1640625" style="223" customWidth="1"/>
    <col min="19" max="19" width="14.5" style="223" customWidth="1"/>
    <col min="20" max="20" width="15.1640625" style="223" customWidth="1"/>
    <col min="21" max="16384" width="8.83203125" style="223"/>
  </cols>
  <sheetData>
    <row r="1" spans="1:20" ht="13.5" customHeight="1" x14ac:dyDescent="0.15">
      <c r="A1" s="230" t="s">
        <v>321</v>
      </c>
      <c r="B1" s="363"/>
      <c r="C1" s="232"/>
      <c r="D1" s="231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0" ht="13.5" customHeight="1" x14ac:dyDescent="0.15">
      <c r="A2" s="694" t="s">
        <v>6</v>
      </c>
      <c r="B2" s="694" t="s">
        <v>322</v>
      </c>
      <c r="C2" s="696" t="s">
        <v>340</v>
      </c>
      <c r="D2" s="697"/>
      <c r="E2" s="697"/>
      <c r="F2" s="697"/>
      <c r="G2" s="698"/>
      <c r="H2" s="696" t="s">
        <v>341</v>
      </c>
      <c r="I2" s="697"/>
      <c r="J2" s="697"/>
      <c r="K2" s="698"/>
      <c r="L2" s="692" t="s">
        <v>331</v>
      </c>
      <c r="M2" s="696" t="s">
        <v>2</v>
      </c>
      <c r="N2" s="697"/>
      <c r="O2" s="698"/>
      <c r="P2" s="696" t="s">
        <v>3</v>
      </c>
      <c r="Q2" s="697"/>
      <c r="R2" s="698"/>
      <c r="S2" s="690" t="s">
        <v>334</v>
      </c>
    </row>
    <row r="3" spans="1:20" s="236" customFormat="1" ht="27" customHeight="1" x14ac:dyDescent="0.15">
      <c r="A3" s="695"/>
      <c r="B3" s="695"/>
      <c r="C3" s="234" t="s">
        <v>191</v>
      </c>
      <c r="D3" s="234" t="s">
        <v>338</v>
      </c>
      <c r="E3" s="234" t="s">
        <v>339</v>
      </c>
      <c r="F3" s="234" t="s">
        <v>328</v>
      </c>
      <c r="G3" s="234" t="s">
        <v>336</v>
      </c>
      <c r="H3" s="234" t="s">
        <v>335</v>
      </c>
      <c r="I3" s="234" t="s">
        <v>325</v>
      </c>
      <c r="J3" s="234" t="s">
        <v>326</v>
      </c>
      <c r="K3" s="234" t="s">
        <v>327</v>
      </c>
      <c r="L3" s="693"/>
      <c r="M3" s="234" t="s">
        <v>337</v>
      </c>
      <c r="N3" s="234" t="s">
        <v>113</v>
      </c>
      <c r="O3" s="235" t="s">
        <v>323</v>
      </c>
      <c r="P3" s="234" t="s">
        <v>337</v>
      </c>
      <c r="Q3" s="234" t="s">
        <v>113</v>
      </c>
      <c r="R3" s="235" t="s">
        <v>323</v>
      </c>
      <c r="S3" s="691"/>
    </row>
    <row r="4" spans="1:20" ht="12.75" customHeight="1" x14ac:dyDescent="0.15">
      <c r="A4" s="324">
        <v>1</v>
      </c>
      <c r="B4" s="233" t="s">
        <v>1</v>
      </c>
      <c r="C4" s="323"/>
      <c r="D4" s="323">
        <f ca="1">IF(actStart="",TODAY(),actStart)</f>
        <v>45370</v>
      </c>
      <c r="E4" s="323">
        <f>actEnd</f>
        <v>0</v>
      </c>
      <c r="F4" s="326">
        <f>actGuar</f>
        <v>0</v>
      </c>
      <c r="G4" s="321">
        <f>prowizja</f>
        <v>0</v>
      </c>
      <c r="H4" s="322">
        <f ca="1">VLOOKUP($D4,$B$14:$F$45,5,TRUE)</f>
        <v>6.6799999999999998E-2</v>
      </c>
      <c r="I4" s="322">
        <f ca="1">VLOOKUP($D4,$B$14:$F$45,2,TRUE)</f>
        <v>2.24E-2</v>
      </c>
      <c r="J4" s="322">
        <f ca="1">VLOOKUP($D4,$B$14:$F$45,3,TRUE)</f>
        <v>1.1000000000000001E-3</v>
      </c>
      <c r="K4" s="322">
        <f ca="1">VLOOKUP($D4,$B$14:$F$45,4,TRUE)</f>
        <v>3.2000000000000002E-3</v>
      </c>
      <c r="L4" s="322">
        <f ca="1">IF(OR(kod_produkt="POIR",kod_produkt="POPC"),SUM(I4:K4),VLOOKUP(D4,$B$14:$G$45,6,TRUE))</f>
        <v>3.7999999999999999E-2</v>
      </c>
      <c r="M4" s="325">
        <f t="shared" ref="M4:M9" ca="1" si="0">YEAR(E4)-YEAR(D4)+IF(MONTH(E4)=MONTH(D4),IF(DAY(E4)&gt;DAY(D4),1,0),IF(MONTH(E4)&gt;MONTH(D4),1,0))</f>
        <v>-124</v>
      </c>
      <c r="N4" s="327">
        <v>0</v>
      </c>
      <c r="O4" s="328">
        <f ca="1">ROUND(SUM(
ROUND((ROUND(N4*L4,2)-ROUND(N4*G4,2))*(1+H4)^(-1),2)*IF(M4&lt;1,0,1),
ROUND((ROUND(N4*L4,2)-ROUND(N4*G4,2))*(1+H4)^(-2),2)*IF(M4&lt;2,0,1),
ROUND((ROUND(N4*L4,2)-ROUND(N4*G4,2))*(1+H4)^(-3),2)*IF(M4&lt;3,0,1),
ROUND((ROUND(N4*L4,2)-ROUND(N4*G4,2))*(1+H4)^(-4),2)*IF(M4&lt;4,0,1),
ROUND((ROUND(N4*L4,2)-ROUND(N4*G4,2))*(1+H4)^(-5),2)*IF(M4&lt;5,0,1),
ROUND((ROUND(N4*L4,2)-ROUND(N4*G4,2))*(1+H4)^(-6),2)*IF(M4&lt;6,0,1),
ROUND((ROUND(N4*L4,2)-ROUND(N4*G4,2))*(1+H4)^(-7),2)*IF(M4&lt;7,0,1),
ROUND((ROUND(N4*L4,2)-ROUND(N4*G4,2))*(1+H4)^(-8),2)*IF(M4&lt;8,0,1),
ROUND((ROUND(N4*L4,2)-ROUND(N4*G4,2))*(1+H4)^(-9),2)*IF(M4&lt;9,0,1),
ROUND((ROUND(N4*L4,2)-ROUND(N4*G4,2))*(1+H4)^(-10),2)*IF(M4&lt;10,0,1),
ROUND((ROUND(N4*L4,2)-ROUND(N4*G4,2))*(1+H4)^(-11),2)*IF(M4&lt;11,0,1),
ROUND((ROUND(N4*L4,2)-ROUND(N4*G4,2))*(1+H4)^(-12),2)*IF(M4&lt;12,0,1),
ROUND((ROUND(N4*L4,2)-ROUND(N4*G4,2))*(1+H4)^(-13),2)*IF(M4&lt;13,0,1),
ROUND((ROUND(N4*L4,2)-ROUND(N4*G4,2))*(1+H4)^(-14),2)*IF(M4&lt;14,0,1),
ROUND((ROUND(N4*L4,2)-ROUND(N4*G4,2))*(1+H4)^(-15),2)*IF(M4&lt;15,0,1),
ROUND((ROUND(N4*L4,2)-ROUND(N4*G4,2))*(1+H4)^(-16),2)*IF(M4&lt;16,0,1),
ROUND((ROUND(N4*L4,2)-ROUND(N4*G4,2))*(1+H4)^(-17),2)*IF(M4&lt;17,0,1),
ROUND((ROUND(N4*L4,2)-ROUND(N4*G4,2))*(1+H4)^(-18),2)*IF(M4&lt;18,0,1),
ROUND((ROUND(N4*L4,2)-ROUND(N4*G4,2))*(1+H4)^(-19),2)*IF(M4&lt;19,0,1),
ROUND((ROUND(N4*L4,2)-ROUND(N4*G4,2))*(1+H4)^(-20),2)*IF(M4&lt;20,0,1)),2)</f>
        <v>0</v>
      </c>
      <c r="P4" s="325">
        <f ca="1">(YEAR(E4)-YEAR($D$4)+IF(MONTH(E4)=MONTH($D$4),IF(DAY(E4)&gt;DAY($D$4),1,0),IF(MONTH(E4)&gt;MONTH($D$4),1,0)))</f>
        <v>-124</v>
      </c>
      <c r="Q4" s="327">
        <f>$F$4</f>
        <v>0</v>
      </c>
      <c r="R4" s="328">
        <f ca="1">ROUND(SUM(
ROUND((ROUND(Q4*L4,2)-ROUND(Q4*G4,2))*(1+H4)^(-1),2)*IF(P4&lt;1,0,1),
ROUND((ROUND(Q4*L4,2)-ROUND(Q4*G4,2))*(1+H4)^(-2),2)*IF(P4&lt;2,0,1),
ROUND((ROUND(Q4*L4,2)-ROUND(Q4*G4,2))*(1+H4)^(-3),2)*IF(P4&lt;3,0,1),
ROUND((ROUND(Q4*L4,2)-ROUND(Q4*G4,2))*(1+H4)^(-4),2)*IF(P4&lt;4,0,1),
ROUND((ROUND(Q4*L4,2)-ROUND(Q4*G4,2))*(1+H4)^(-5),2)*IF(P4&lt;5,0,1),
ROUND((ROUND(Q4*L4,2)-ROUND(Q4*G4,2))*(1+H4)^(-6),2)*IF(P4&lt;6,0,1),
ROUND((ROUND(Q4*L4,2)-ROUND(Q4*G4,2))*(1+H4)^(-7),2)*IF(P4&lt;7,0,1),
ROUND((ROUND(Q4*L4,2)-ROUND(Q4*G4,2))*(1+H4)^(-8),2)*IF(P4&lt;8,0,1),
ROUND((ROUND(Q4*L4,2)-ROUND(Q4*G4,2))*(1+H4)^(-9),2)*IF(P4&lt;9,0,1),
ROUND((ROUND(Q4*L4,2)-ROUND(Q4*G4,2))*(1+H4)^(-10),2)*IF(P4&lt;10,0,1),
ROUND((ROUND(Q4*L4,2)-ROUND(Q4*G4,2))*(1+H4)^(-11),2)*IF(P4&lt;11,0,1),
ROUND((ROUND(Q4*L4,2)-ROUND(Q4*G4,2))*(1+H4)^(-12),2)*IF(P4&lt;12,0,1),
ROUND((ROUND(Q4*L4,2)-ROUND(Q4*G4,2))*(1+H4)^(-13),2)*IF(P4&lt;13,0,1),
ROUND((ROUND(Q4*L4,2)-ROUND(Q4*G4,2))*(1+H4)^(-14),2)*IF(P4&lt;14,0,1),
ROUND((ROUND(Q4*L4,2)-ROUND(Q4*G4,2))*(1+H4)^(-15),2)*IF(P4&lt;15,0,1),
ROUND((ROUND(Q4*L4,2)-ROUND(Q4*G4,2))*(1+H4)^(-16),2)*IF(P4&lt;16,0,1),
ROUND((ROUND(Q4*L4,2)-ROUND(Q4*G4,2))*(1+H4)^(-17),2)*IF(P4&lt;17,0,1),
ROUND((ROUND(Q4*L4,2)-ROUND(Q4*G4,2))*(1+H4)^(-18),2)*IF(P4&lt;18,0,1),
ROUND((ROUND(Q4*L4,2)-ROUND(Q4*G4,2))*(1+H4)^(-19),2)*IF(P4&lt;19,0,1),
ROUND((ROUND(Q4*L4,2)-ROUND(Q4*G4,2))*(1+H4)^(-20),2)*IF(P4&lt;20,0,1)),2)</f>
        <v>0</v>
      </c>
      <c r="S4" s="328">
        <f ca="1">IF(A4=wariant,R4+O4,)</f>
        <v>0</v>
      </c>
    </row>
    <row r="5" spans="1:20" ht="12.75" customHeight="1" x14ac:dyDescent="0.15">
      <c r="A5" s="324">
        <v>2</v>
      </c>
      <c r="B5" s="233" t="s">
        <v>2</v>
      </c>
      <c r="C5" s="323">
        <f ca="1">aidDate</f>
        <v>45370</v>
      </c>
      <c r="D5" s="323">
        <f ca="1">chgDate</f>
        <v>45370</v>
      </c>
      <c r="E5" s="323">
        <f>actEnd</f>
        <v>0</v>
      </c>
      <c r="F5" s="326">
        <f>newGuar</f>
        <v>0</v>
      </c>
      <c r="G5" s="321">
        <f t="shared" ref="G5:G10" si="1">prowizja</f>
        <v>0</v>
      </c>
      <c r="H5" s="322">
        <f ca="1">VLOOKUP($C5,$B$14:$F$45,5,TRUE)</f>
        <v>6.6799999999999998E-2</v>
      </c>
      <c r="I5" s="322">
        <f ca="1">VLOOKUP($C5,$B$14:$F$45,2,TRUE)</f>
        <v>2.24E-2</v>
      </c>
      <c r="J5" s="322">
        <f ca="1">VLOOKUP($C5,$B$14:$F$45,3,TRUE)</f>
        <v>1.1000000000000001E-3</v>
      </c>
      <c r="K5" s="322">
        <f ca="1">VLOOKUP($C5,$B$14:$F$45,4,TRUE)</f>
        <v>3.2000000000000002E-3</v>
      </c>
      <c r="L5" s="322">
        <f ca="1">IF(OR(kod_produkt="POIR",kod_produkt="POPC"),SUM(I5:K5),VLOOKUP(C5,$B$14:$G$45,6,TRUE))</f>
        <v>3.7999999999999999E-2</v>
      </c>
      <c r="M5" s="325">
        <f t="shared" ca="1" si="0"/>
        <v>-124</v>
      </c>
      <c r="N5" s="327">
        <f>IF(F5-$F$4&lt;0,0,F5-$F$4)</f>
        <v>0</v>
      </c>
      <c r="O5" s="328">
        <f t="shared" ref="O5:O10" ca="1" si="2">ROUND(SUM(
ROUND((ROUND(N5*L5,2)-ROUND(N5*G5,2))*(1+H5)^(-1),2)*IF(M5&lt;1,0,1),
ROUND((ROUND(N5*L5,2)-ROUND(N5*G5,2))*(1+H5)^(-2),2)*IF(M5&lt;2,0,1),
ROUND((ROUND(N5*L5,2)-ROUND(N5*G5,2))*(1+H5)^(-3),2)*IF(M5&lt;3,0,1),
ROUND((ROUND(N5*L5,2)-ROUND(N5*G5,2))*(1+H5)^(-4),2)*IF(M5&lt;4,0,1),
ROUND((ROUND(N5*L5,2)-ROUND(N5*G5,2))*(1+H5)^(-5),2)*IF(M5&lt;5,0,1),
ROUND((ROUND(N5*L5,2)-ROUND(N5*G5,2))*(1+H5)^(-6),2)*IF(M5&lt;6,0,1),
ROUND((ROUND(N5*L5,2)-ROUND(N5*G5,2))*(1+H5)^(-7),2)*IF(M5&lt;7,0,1),
ROUND((ROUND(N5*L5,2)-ROUND(N5*G5,2))*(1+H5)^(-8),2)*IF(M5&lt;8,0,1),
ROUND((ROUND(N5*L5,2)-ROUND(N5*G5,2))*(1+H5)^(-9),2)*IF(M5&lt;9,0,1),
ROUND((ROUND(N5*L5,2)-ROUND(N5*G5,2))*(1+H5)^(-10),2)*IF(M5&lt;10,0,1),
ROUND((ROUND(N5*L5,2)-ROUND(N5*G5,2))*(1+H5)^(-11),2)*IF(M5&lt;11,0,1),
ROUND((ROUND(N5*L5,2)-ROUND(N5*G5,2))*(1+H5)^(-12),2)*IF(M5&lt;12,0,1),
ROUND((ROUND(N5*L5,2)-ROUND(N5*G5,2))*(1+H5)^(-13),2)*IF(M5&lt;13,0,1),
ROUND((ROUND(N5*L5,2)-ROUND(N5*G5,2))*(1+H5)^(-14),2)*IF(M5&lt;14,0,1),
ROUND((ROUND(N5*L5,2)-ROUND(N5*G5,2))*(1+H5)^(-15),2)*IF(M5&lt;15,0,1),
ROUND((ROUND(N5*L5,2)-ROUND(N5*G5,2))*(1+H5)^(-16),2)*IF(M5&lt;16,0,1),
ROUND((ROUND(N5*L5,2)-ROUND(N5*G5,2))*(1+H5)^(-17),2)*IF(M5&lt;17,0,1),
ROUND((ROUND(N5*L5,2)-ROUND(N5*G5,2))*(1+H5)^(-18),2)*IF(M5&lt;18,0,1),
ROUND((ROUND(N5*L5,2)-ROUND(N5*G5,2))*(1+H5)^(-19),2)*IF(M5&lt;19,0,1),
ROUND((ROUND(N5*L5,2)-ROUND(N5*G5,2))*(1+H5)^(-20),2)*IF(M5&lt;20,0,1)),2)</f>
        <v>0</v>
      </c>
      <c r="P5" s="325">
        <f ca="1">(YEAR(E5)-YEAR($D$4)+IF(MONTH(E5)=MONTH($D$4),IF(DAY(E5)&gt;DAY($D$4),1,0),IF(MONTH(E5)&gt;MONTH($D$4),1,0)))-$P$4</f>
        <v>0</v>
      </c>
      <c r="Q5" s="327">
        <f>$F$4</f>
        <v>0</v>
      </c>
      <c r="R5" s="328">
        <f t="shared" ref="R5:R8" ca="1" si="3">ROUND(SUM(
ROUND((ROUND(Q5*L5,2)-ROUND(Q5*G5,2))*(1+H5)^(-1),2)*IF(P5&lt;1,0,1),
ROUND((ROUND(Q5*L5,2)-ROUND(Q5*G5,2))*(1+H5)^(-2),2)*IF(P5&lt;2,0,1),
ROUND((ROUND(Q5*L5,2)-ROUND(Q5*G5,2))*(1+H5)^(-3),2)*IF(P5&lt;3,0,1),
ROUND((ROUND(Q5*L5,2)-ROUND(Q5*G5,2))*(1+H5)^(-4),2)*IF(P5&lt;4,0,1),
ROUND((ROUND(Q5*L5,2)-ROUND(Q5*G5,2))*(1+H5)^(-5),2)*IF(P5&lt;5,0,1),
ROUND((ROUND(Q5*L5,2)-ROUND(Q5*G5,2))*(1+H5)^(-6),2)*IF(P5&lt;6,0,1),
ROUND((ROUND(Q5*L5,2)-ROUND(Q5*G5,2))*(1+H5)^(-7),2)*IF(P5&lt;7,0,1),
ROUND((ROUND(Q5*L5,2)-ROUND(Q5*G5,2))*(1+H5)^(-8),2)*IF(P5&lt;8,0,1),
ROUND((ROUND(Q5*L5,2)-ROUND(Q5*G5,2))*(1+H5)^(-9),2)*IF(P5&lt;9,0,1),
ROUND((ROUND(Q5*L5,2)-ROUND(Q5*G5,2))*(1+H5)^(-10),2)*IF(P5&lt;10,0,1),
ROUND((ROUND(Q5*L5,2)-ROUND(Q5*G5,2))*(1+H5)^(-11),2)*IF(P5&lt;11,0,1),
ROUND((ROUND(Q5*L5,2)-ROUND(Q5*G5,2))*(1+H5)^(-12),2)*IF(P5&lt;12,0,1),
ROUND((ROUND(Q5*L5,2)-ROUND(Q5*G5,2))*(1+H5)^(-13),2)*IF(P5&lt;13,0,1),
ROUND((ROUND(Q5*L5,2)-ROUND(Q5*G5,2))*(1+H5)^(-14),2)*IF(P5&lt;14,0,1),
ROUND((ROUND(Q5*L5,2)-ROUND(Q5*G5,2))*(1+H5)^(-15),2)*IF(P5&lt;15,0,1),
ROUND((ROUND(Q5*L5,2)-ROUND(Q5*G5,2))*(1+H5)^(-16),2)*IF(P5&lt;16,0,1),
ROUND((ROUND(Q5*L5,2)-ROUND(Q5*G5,2))*(1+H5)^(-17),2)*IF(P5&lt;17,0,1),
ROUND((ROUND(Q5*L5,2)-ROUND(Q5*G5,2))*(1+H5)^(-18),2)*IF(P5&lt;18,0,1),
ROUND((ROUND(Q5*L5,2)-ROUND(Q5*G5,2))*(1+H5)^(-19),2)*IF(P5&lt;19,0,1),
ROUND((ROUND(Q5*L5,2)-ROUND(Q5*G5,2))*(1+H5)^(-20),2)*IF(P5&lt;20,0,1)),2)</f>
        <v>0</v>
      </c>
      <c r="S5" s="328">
        <f t="shared" ref="S5:S9" ca="1" si="4">IF(A5=wariant,R5+O5,)</f>
        <v>0</v>
      </c>
    </row>
    <row r="6" spans="1:20" ht="12.75" customHeight="1" x14ac:dyDescent="0.15">
      <c r="A6" s="324">
        <v>3</v>
      </c>
      <c r="B6" s="233" t="s">
        <v>329</v>
      </c>
      <c r="C6" s="323">
        <f ca="1">aidDate</f>
        <v>45370</v>
      </c>
      <c r="D6" s="323">
        <f>actStart</f>
        <v>0</v>
      </c>
      <c r="E6" s="323">
        <f>newEnd</f>
        <v>0</v>
      </c>
      <c r="F6" s="326">
        <f>newGuar</f>
        <v>0</v>
      </c>
      <c r="G6" s="321">
        <f t="shared" si="1"/>
        <v>0</v>
      </c>
      <c r="H6" s="322">
        <f ca="1">VLOOKUP($C6,$B$14:$F$45,5,TRUE)</f>
        <v>6.6799999999999998E-2</v>
      </c>
      <c r="I6" s="322">
        <f ca="1">VLOOKUP($C6,$B$14:$F$45,2,TRUE)</f>
        <v>2.24E-2</v>
      </c>
      <c r="J6" s="322">
        <f ca="1">VLOOKUP($C6,$B$14:$F$45,3,TRUE)</f>
        <v>1.1000000000000001E-3</v>
      </c>
      <c r="K6" s="322">
        <f ca="1">VLOOKUP($C6,$B$14:$F$45,4,TRUE)</f>
        <v>3.2000000000000002E-3</v>
      </c>
      <c r="L6" s="322">
        <f ca="1">IF(OR(kod_produkt="POIR",kod_produkt="POPC"),SUM(I6:K6),VLOOKUP(C6,$B$14:$G$45,6,TRUE))</f>
        <v>3.7999999999999999E-2</v>
      </c>
      <c r="M6" s="325">
        <f t="shared" si="0"/>
        <v>0</v>
      </c>
      <c r="N6" s="327">
        <f>IF(F6-$F$4&lt;0,0,F6-$F$4)</f>
        <v>0</v>
      </c>
      <c r="O6" s="328">
        <f t="shared" ca="1" si="2"/>
        <v>0</v>
      </c>
      <c r="P6" s="325">
        <f ca="1">(YEAR(E6)-YEAR($D$4)+IF(MONTH(E6)=MONTH($D$4),IF(DAY(E6)&gt;DAY($D$4),1,0),IF(MONTH(E6)&gt;MONTH($D$4),1,0)))-$P$4</f>
        <v>0</v>
      </c>
      <c r="Q6" s="327">
        <f>$F$4</f>
        <v>0</v>
      </c>
      <c r="R6" s="328">
        <f t="shared" ca="1" si="3"/>
        <v>0</v>
      </c>
      <c r="S6" s="328">
        <f t="shared" ca="1" si="4"/>
        <v>0</v>
      </c>
    </row>
    <row r="7" spans="1:20" ht="12.75" customHeight="1" x14ac:dyDescent="0.15">
      <c r="A7" s="324">
        <v>4</v>
      </c>
      <c r="B7" s="233" t="s">
        <v>4</v>
      </c>
      <c r="C7" s="323">
        <f ca="1">aidDate</f>
        <v>45370</v>
      </c>
      <c r="D7" s="323">
        <f ca="1">chgDate</f>
        <v>45370</v>
      </c>
      <c r="E7" s="323">
        <f>newEnd</f>
        <v>0</v>
      </c>
      <c r="F7" s="326">
        <f>newGuar</f>
        <v>0</v>
      </c>
      <c r="G7" s="321">
        <f t="shared" si="1"/>
        <v>0</v>
      </c>
      <c r="H7" s="322">
        <f ca="1">VLOOKUP($C7,$B$14:$F$45,5,TRUE)</f>
        <v>6.6799999999999998E-2</v>
      </c>
      <c r="I7" s="322">
        <f ca="1">VLOOKUP($C7,$B$14:$F$45,2,TRUE)</f>
        <v>2.24E-2</v>
      </c>
      <c r="J7" s="322">
        <f ca="1">VLOOKUP($C7,$B$14:$F$45,3,TRUE)</f>
        <v>1.1000000000000001E-3</v>
      </c>
      <c r="K7" s="322">
        <f ca="1">VLOOKUP($C7,$B$14:$F$45,4,TRUE)</f>
        <v>3.2000000000000002E-3</v>
      </c>
      <c r="L7" s="322">
        <f ca="1">IF(OR(kod_produkt="POIR",kod_produkt="POPC"),SUM(I7:K7),VLOOKUP(C7,$B$14:$G$45,6,TRUE))</f>
        <v>3.7999999999999999E-2</v>
      </c>
      <c r="M7" s="325">
        <f t="shared" ca="1" si="0"/>
        <v>-124</v>
      </c>
      <c r="N7" s="327">
        <f>IF(F7-$F$4&lt;0,0,F7-$F$4)</f>
        <v>0</v>
      </c>
      <c r="O7" s="328">
        <f t="shared" ca="1" si="2"/>
        <v>0</v>
      </c>
      <c r="P7" s="325">
        <f ca="1">(YEAR(E7)-YEAR($D$4)+IF(MONTH(E7)=MONTH($D$4),IF(DAY(E7)&gt;DAY($D$4),1,0),IF(MONTH(E7)&gt;MONTH($D$4),1,0)))-$P$4</f>
        <v>0</v>
      </c>
      <c r="Q7" s="327">
        <f>F7</f>
        <v>0</v>
      </c>
      <c r="R7" s="328">
        <f t="shared" ca="1" si="3"/>
        <v>0</v>
      </c>
      <c r="S7" s="328">
        <f t="shared" ca="1" si="4"/>
        <v>0</v>
      </c>
    </row>
    <row r="8" spans="1:20" ht="12.75" customHeight="1" x14ac:dyDescent="0.15">
      <c r="A8" s="324">
        <v>5</v>
      </c>
      <c r="B8" s="233" t="s">
        <v>5</v>
      </c>
      <c r="C8" s="323">
        <f ca="1">aidDate</f>
        <v>45370</v>
      </c>
      <c r="D8" s="323">
        <f ca="1">chgDate</f>
        <v>45370</v>
      </c>
      <c r="E8" s="323">
        <f>newEnd</f>
        <v>0</v>
      </c>
      <c r="F8" s="326">
        <f>newGuar</f>
        <v>0</v>
      </c>
      <c r="G8" s="321">
        <f t="shared" si="1"/>
        <v>0</v>
      </c>
      <c r="H8" s="322">
        <f ca="1">VLOOKUP($C8,$B$14:$F$45,5,TRUE)</f>
        <v>6.6799999999999998E-2</v>
      </c>
      <c r="I8" s="322">
        <f ca="1">VLOOKUP($C8,$B$14:$F$45,2,TRUE)</f>
        <v>2.24E-2</v>
      </c>
      <c r="J8" s="322">
        <f ca="1">VLOOKUP($C8,$B$14:$F$45,3,TRUE)</f>
        <v>1.1000000000000001E-3</v>
      </c>
      <c r="K8" s="322">
        <f ca="1">VLOOKUP($C8,$B$14:$F$45,4,TRUE)</f>
        <v>3.2000000000000002E-3</v>
      </c>
      <c r="L8" s="322">
        <f ca="1">IF(OR(kod_produkt="POIR",kod_produkt="POPC"),SUM(I8:K8),VLOOKUP(C8,$B$14:$G$45,6,TRUE))</f>
        <v>3.7999999999999999E-2</v>
      </c>
      <c r="M8" s="325">
        <f t="shared" ca="1" si="0"/>
        <v>-124</v>
      </c>
      <c r="N8" s="327">
        <f>IF(F8-$F$4&lt;0,0,F8-$F$4)</f>
        <v>0</v>
      </c>
      <c r="O8" s="328">
        <f t="shared" ca="1" si="2"/>
        <v>0</v>
      </c>
      <c r="P8" s="325">
        <f ca="1">(YEAR(E8)-YEAR($D$4)+IF(MONTH(E8)=MONTH($D$4),IF(DAY(E8)&gt;DAY($D$4),1,0),IF(MONTH(E8)&gt;MONTH($D$4),1,0)))-$P$4</f>
        <v>0</v>
      </c>
      <c r="Q8" s="327">
        <f>$F$4</f>
        <v>0</v>
      </c>
      <c r="R8" s="328">
        <f t="shared" ca="1" si="3"/>
        <v>0</v>
      </c>
      <c r="S8" s="328">
        <f t="shared" ca="1" si="4"/>
        <v>0</v>
      </c>
    </row>
    <row r="9" spans="1:20" ht="12.75" customHeight="1" x14ac:dyDescent="0.15">
      <c r="A9" s="324">
        <v>6</v>
      </c>
      <c r="B9" s="233" t="s">
        <v>48</v>
      </c>
      <c r="C9" s="323">
        <f ca="1">aidDate</f>
        <v>45370</v>
      </c>
      <c r="D9" s="323">
        <f ca="1">chgDate</f>
        <v>45370</v>
      </c>
      <c r="E9" s="323">
        <f>newEnd</f>
        <v>0</v>
      </c>
      <c r="F9" s="326">
        <f>newGuar</f>
        <v>0</v>
      </c>
      <c r="G9" s="321">
        <f t="shared" si="1"/>
        <v>0</v>
      </c>
      <c r="H9" s="322">
        <f ca="1">VLOOKUP($C9,$B$14:$F$45,5,TRUE)</f>
        <v>6.6799999999999998E-2</v>
      </c>
      <c r="I9" s="322">
        <f ca="1">VLOOKUP($C9,$B$14:$F$45,2,TRUE)</f>
        <v>2.24E-2</v>
      </c>
      <c r="J9" s="322">
        <f ca="1">VLOOKUP($C9,$B$14:$F$45,3,TRUE)</f>
        <v>1.1000000000000001E-3</v>
      </c>
      <c r="K9" s="322">
        <f ca="1">VLOOKUP($C9,$B$14:$F$45,4,TRUE)</f>
        <v>3.2000000000000002E-3</v>
      </c>
      <c r="L9" s="322">
        <f ca="1">IF(OR(kod_produkt="POIR",kod_produkt="POPC"),SUM(I9:K9),VLOOKUP(C9,$B$14:$G$45,6,TRUE))</f>
        <v>3.7999999999999999E-2</v>
      </c>
      <c r="M9" s="325">
        <f t="shared" ca="1" si="0"/>
        <v>-124</v>
      </c>
      <c r="N9" s="327">
        <f>IF(F9-$F$4&lt;0,0,F9-$F$4)</f>
        <v>0</v>
      </c>
      <c r="O9" s="328">
        <f t="shared" ca="1" si="2"/>
        <v>0</v>
      </c>
      <c r="P9" s="325">
        <f ca="1">(YEAR(E9)-YEAR($D$4)+IF(MONTH(E9)=MONTH($D$4),IF(DAY(E9)&gt;DAY($D$4),1,0),IF(MONTH(E9)&gt;MONTH($D$4),1,0)))-$P$4</f>
        <v>0</v>
      </c>
      <c r="Q9" s="327">
        <f>$F$4</f>
        <v>0</v>
      </c>
      <c r="R9" s="328">
        <f ca="1">ROUND(SUM(
ROUND((ROUND(Q9*L9,2)-ROUND(Q9*G9,2))*(1+H9)^(-1),2)*IF(P9&lt;1,0,1),
ROUND((ROUND(Q9*L9,2)-ROUND(Q9*G9,2))*(1+H9)^(-2),2)*IF(P9&lt;2,0,1),
ROUND((ROUND(Q9*L9,2)-ROUND(Q9*G9,2))*(1+H9)^(-3),2)*IF(P9&lt;3,0,1),
ROUND((ROUND(Q9*L9,2)-ROUND(Q9*G9,2))*(1+H9)^(-4),2)*IF(P9&lt;4,0,1),
ROUND((ROUND(Q9*L9,2)-ROUND(Q9*G9,2))*(1+H9)^(-5),2)*IF(P9&lt;5,0,1),
ROUND((ROUND(Q9*L9,2)-ROUND(Q9*G9,2))*(1+H9)^(-6),2)*IF(P9&lt;6,0,1),
ROUND((ROUND(Q9*L9,2)-ROUND(Q9*G9,2))*(1+H9)^(-7),2)*IF(P9&lt;7,0,1),
ROUND((ROUND(Q9*L9,2)-ROUND(Q9*G9,2))*(1+H9)^(-8),2)*IF(P9&lt;8,0,1),
ROUND((ROUND(Q9*L9,2)-ROUND(Q9*G9,2))*(1+H9)^(-9),2)*IF(P9&lt;9,0,1),
ROUND((ROUND(Q9*L9,2)-ROUND(Q9*G9,2))*(1+H9)^(-10),2)*IF(P9&lt;10,0,1),
ROUND((ROUND(Q9*L9,2)-ROUND(Q9*G9,2))*(1+H9)^(-11),2)*IF(P9&lt;11,0,1),
ROUND((ROUND(Q9*L9,2)-ROUND(Q9*G9,2))*(1+H9)^(-12),2)*IF(P9&lt;12,0,1),
ROUND((ROUND(Q9*L9,2)-ROUND(Q9*G9,2))*(1+H9)^(-13),2)*IF(P9&lt;13,0,1),
ROUND((ROUND(Q9*L9,2)-ROUND(Q9*G9,2))*(1+H9)^(-14),2)*IF(P9&lt;14,0,1),
ROUND((ROUND(Q9*L9,2)-ROUND(Q9*G9,2))*(1+H9)^(-15),2)*IF(P9&lt;15,0,1),
ROUND((ROUND(Q9*L9,2)-ROUND(Q9*G9,2))*(1+H9)^(-16),2)*IF(P9&lt;16,0,1),
ROUND((ROUND(Q9*L9,2)-ROUND(Q9*G9,2))*(1+H9)^(-17),2)*IF(P9&lt;17,0,1),
ROUND((ROUND(Q9*L9,2)-ROUND(Q9*G9,2))*(1+H9)^(-18),2)*IF(P9&lt;18,0,1),
ROUND((ROUND(Q9*L9,2)-ROUND(Q9*G9,2))*(1+H9)^(-19),2)*IF(P9&lt;19,0,1),
ROUND((ROUND(Q9*L9,2)-ROUND(Q9*G9,2))*(1+H9)^(-20),2)*IF(P9&lt;20,0,1)),2)</f>
        <v>0</v>
      </c>
      <c r="S9" s="328">
        <f t="shared" ca="1" si="4"/>
        <v>0</v>
      </c>
    </row>
    <row r="10" spans="1:20" ht="12.75" customHeight="1" x14ac:dyDescent="0.15">
      <c r="A10" s="324">
        <v>7</v>
      </c>
      <c r="B10" s="233" t="s">
        <v>377</v>
      </c>
      <c r="C10" s="323"/>
      <c r="D10" s="323">
        <f ca="1">aidDate</f>
        <v>45370</v>
      </c>
      <c r="E10" s="323">
        <f>actEnd</f>
        <v>0</v>
      </c>
      <c r="F10" s="326">
        <f>actGuar</f>
        <v>0</v>
      </c>
      <c r="G10" s="321">
        <f t="shared" si="1"/>
        <v>0</v>
      </c>
      <c r="H10" s="322">
        <f ca="1">VLOOKUP($D10,$B$14:$F$45,5,TRUE)</f>
        <v>6.6799999999999998E-2</v>
      </c>
      <c r="I10" s="322">
        <f ca="1">VLOOKUP($D10,$B$14:$F$45,2,TRUE)</f>
        <v>2.24E-2</v>
      </c>
      <c r="J10" s="322">
        <f ca="1">VLOOKUP($D10,$B$14:$F$45,3,TRUE)</f>
        <v>1.1000000000000001E-3</v>
      </c>
      <c r="K10" s="322">
        <f ca="1">VLOOKUP($D10,$B$14:$F$45,4,TRUE)</f>
        <v>3.2000000000000002E-3</v>
      </c>
      <c r="L10" s="322">
        <f ca="1">IF(OR(kod_produkt="POIR",kod_produkt="POPC"),SUM(I10:K10),VLOOKUP(D10,$B$14:$G$45,6,TRUE))</f>
        <v>3.7999999999999999E-2</v>
      </c>
      <c r="M10" s="325">
        <f ca="1">YEAR(E10)-YEAR(D10)+IF(MONTH(E10)=MONTH(D10),IF(DAY(E10)&gt;DAY(D10),1,0),IF(MONTH(E10)&gt;MONTH(D10),1,0))</f>
        <v>-124</v>
      </c>
      <c r="N10" s="327">
        <v>0</v>
      </c>
      <c r="O10" s="328">
        <f t="shared" ca="1" si="2"/>
        <v>0</v>
      </c>
      <c r="P10" s="325">
        <f ca="1">(YEAR(E10)-YEAR($D$4)+IF(MONTH(E10)=MONTH($D$4),IF(DAY(E10)&gt;DAY($D$4),1,0),IF(MONTH(E10)&gt;MONTH($D$4),1,0)))</f>
        <v>-124</v>
      </c>
      <c r="Q10" s="327">
        <f>$F$4</f>
        <v>0</v>
      </c>
      <c r="R10" s="376">
        <f ca="1">ROUND(SUM(
(ROUND(J14*L10-(J14*G10),2)*(1+H10)^(-1))*IF(P10&lt;1,0,1),
(ROUND(J15*L10-(J15*G10),2)*(1+H10)^(-2))*IF(P10&lt;2,0,1),
(ROUND(J16*L10-(J16*G10),2)*(1+H10)^(-3))*IF(P10&lt;3,0,1),
(ROUND(J16*L10-(J16*G10),2)*(1+H10)^(-4))*IF(P10&lt;4,0,1),
(ROUND(J16*L10-(J16*G10),2)*(1+H10)^(-5))*IF(P10&lt;5,0,1),
(ROUND(J16*L10-(J16*G10),2)*(1+H10)^(-6))*IF(P10&lt;6,0,1),
(ROUND(J16*L10-(J16*G10),2)*(1+H10)^(-7))*IF(P10&lt;7,0,1),
(ROUND(J16*L10-(J16*G10),2)*(1+H10)^(-8))*IF(P10&lt;8,0,1),
(ROUND(J16*L10-(J16*G10),2)*(1+H10)^(-9))*IF(P10&lt;9,0,1),
(ROUND(J16*L10-(J16*G10),2)*(1+H10)^(-10))*IF(P10&lt;10,0,1),
(ROUND(J16*L10-(J16*G10),2)*(1+H10)^(-11))*IF(P10&lt;11,0,1),
(ROUND(J16*L10-(J16*G10),2)*(1+H10)^(-12))*IF(P10&lt;12,0,1),
(ROUND(J16*L10-(J16*G10),2)*(1+H10)^(-13))*IF(P10&lt;13,0,1),
(ROUND(J16*L10-(J16*G10),2)*(1+H10)^(-14))*IF(P10&lt;14,0,1),
(ROUND(J16*L10-(J16*G10),2)*(1+H10)^(-15))*IF(P10&lt;15,0,1),
(ROUND(J16*L10-(J16*G10),2)*(1+H10)^(-16))*IF(P10&lt;16,0,1),
(ROUND(J16*L10-(J16*G10),2)*(1+H10)^(-17))*IF(P10&lt;17,0,1),
(ROUND(J16*L10-(J16*G10),2)*(1+H10)^(-18))*IF(P10&lt;18,0,1),
(ROUND(J16*L10-(J16*G10),2)*(1+H10)^(-19))*IF(P10&lt;19,0,1),
(ROUND(J16*L10-(J16*G10),2)*(1+H10)^(-20))*IF(P10&lt;20,0,1)),2)</f>
        <v>0</v>
      </c>
      <c r="S10" s="328">
        <f ca="1">IF(AND(Kalkulator!CH37="",A10=wariant),R10+O10,)</f>
        <v>0</v>
      </c>
    </row>
    <row r="11" spans="1:20" ht="11.25" thickBot="1" x14ac:dyDescent="0.2">
      <c r="C11" s="224"/>
      <c r="D11" s="225"/>
      <c r="E11" s="225"/>
      <c r="F11" s="225"/>
      <c r="G11" s="225"/>
      <c r="H11" s="224"/>
      <c r="I11" s="225"/>
      <c r="J11" s="225"/>
      <c r="K11" s="225"/>
      <c r="L11" s="224"/>
      <c r="M11" s="224"/>
      <c r="N11" s="224"/>
      <c r="T11" s="226"/>
    </row>
    <row r="12" spans="1:20" ht="13.5" customHeight="1" x14ac:dyDescent="0.15">
      <c r="B12" s="230" t="s">
        <v>324</v>
      </c>
      <c r="C12" s="231"/>
      <c r="D12" s="232"/>
      <c r="E12" s="231"/>
      <c r="F12" s="232"/>
      <c r="G12" s="219"/>
      <c r="H12" s="227"/>
      <c r="I12" s="230" t="s">
        <v>381</v>
      </c>
      <c r="J12" s="231"/>
      <c r="K12" s="232"/>
      <c r="L12" s="231"/>
      <c r="M12" s="232"/>
      <c r="N12" s="219"/>
      <c r="O12" s="227"/>
      <c r="P12" s="227"/>
      <c r="Q12" s="227"/>
      <c r="R12" s="227"/>
      <c r="S12" s="227"/>
      <c r="T12" s="227"/>
    </row>
    <row r="13" spans="1:20" ht="23.45" customHeight="1" x14ac:dyDescent="0.15">
      <c r="B13" s="234" t="s">
        <v>430</v>
      </c>
      <c r="C13" s="234" t="s">
        <v>325</v>
      </c>
      <c r="D13" s="234" t="s">
        <v>326</v>
      </c>
      <c r="E13" s="234" t="s">
        <v>327</v>
      </c>
      <c r="F13" s="234" t="s">
        <v>335</v>
      </c>
      <c r="G13" s="234" t="s">
        <v>330</v>
      </c>
      <c r="I13" s="234" t="s">
        <v>28</v>
      </c>
      <c r="J13" s="234" t="s">
        <v>113</v>
      </c>
      <c r="K13" s="234"/>
      <c r="L13" s="234"/>
      <c r="M13" s="234"/>
      <c r="N13" s="234"/>
    </row>
    <row r="14" spans="1:20" ht="12.75" customHeight="1" x14ac:dyDescent="0.15">
      <c r="B14" s="229">
        <v>1</v>
      </c>
      <c r="C14" s="211">
        <v>1.0699999999999999E-2</v>
      </c>
      <c r="D14" s="211">
        <v>1.9E-3</v>
      </c>
      <c r="E14" s="211">
        <v>3.2000000000000002E-3</v>
      </c>
      <c r="F14" s="211">
        <v>2.8299999999999999E-2</v>
      </c>
      <c r="G14" s="211">
        <v>3.7999999999999999E-2</v>
      </c>
      <c r="I14" s="333">
        <v>1</v>
      </c>
      <c r="J14" s="334">
        <f ca="1">Kalkulator!AU29*Kalkulator!CF29</f>
        <v>0</v>
      </c>
      <c r="K14" s="211"/>
      <c r="L14" s="211"/>
      <c r="M14" s="211"/>
      <c r="N14" s="211"/>
    </row>
    <row r="15" spans="1:20" ht="12.75" customHeight="1" x14ac:dyDescent="0.15">
      <c r="B15" s="229">
        <v>42948</v>
      </c>
      <c r="C15" s="211">
        <v>1.7600000000000001E-2</v>
      </c>
      <c r="D15" s="211">
        <v>1.8E-3</v>
      </c>
      <c r="E15" s="211">
        <v>3.2000000000000002E-3</v>
      </c>
      <c r="F15" s="211">
        <v>2.8299999999999999E-2</v>
      </c>
      <c r="G15" s="211">
        <v>3.7999999999999999E-2</v>
      </c>
      <c r="I15" s="333">
        <v>2</v>
      </c>
      <c r="J15" s="334">
        <f ca="1">IF(Kalkulator!AU31="",actGuar,Kalkulator!AU31)*Kalkulator!CF29</f>
        <v>0</v>
      </c>
      <c r="K15" s="211"/>
      <c r="L15" s="211"/>
      <c r="M15" s="211"/>
      <c r="N15" s="211"/>
    </row>
    <row r="16" spans="1:20" ht="12.75" customHeight="1" x14ac:dyDescent="0.15">
      <c r="B16" s="229">
        <v>43101</v>
      </c>
      <c r="C16" s="211">
        <v>1.7600000000000001E-2</v>
      </c>
      <c r="D16" s="211">
        <v>1.8E-3</v>
      </c>
      <c r="E16" s="211">
        <v>3.2000000000000002E-3</v>
      </c>
      <c r="F16" s="211">
        <v>2.8500000000000001E-2</v>
      </c>
      <c r="G16" s="211">
        <v>3.7999999999999999E-2</v>
      </c>
      <c r="I16" s="333">
        <v>3</v>
      </c>
      <c r="J16" s="334">
        <f ca="1">IF(Kalkulator!AU33="",actGuar,Kalkulator!AU33)*Kalkulator!CF29</f>
        <v>0</v>
      </c>
      <c r="K16" s="211"/>
      <c r="L16" s="211"/>
      <c r="M16" s="211"/>
      <c r="N16" s="211"/>
    </row>
    <row r="17" spans="2:7" ht="12.75" customHeight="1" x14ac:dyDescent="0.15">
      <c r="B17" s="229">
        <v>43313</v>
      </c>
      <c r="C17" s="211">
        <v>2.3199999999999998E-2</v>
      </c>
      <c r="D17" s="211">
        <v>1.6000000000000001E-3</v>
      </c>
      <c r="E17" s="211">
        <v>3.2000000000000002E-3</v>
      </c>
      <c r="F17" s="211">
        <v>2.8500000000000001E-2</v>
      </c>
      <c r="G17" s="211">
        <v>3.7999999999999999E-2</v>
      </c>
    </row>
    <row r="18" spans="2:7" ht="12.75" customHeight="1" x14ac:dyDescent="0.15">
      <c r="B18" s="229">
        <v>43466</v>
      </c>
      <c r="C18" s="211">
        <v>2.3199999999999998E-2</v>
      </c>
      <c r="D18" s="211">
        <v>1.6000000000000001E-3</v>
      </c>
      <c r="E18" s="211">
        <v>3.2000000000000002E-3</v>
      </c>
      <c r="F18" s="211">
        <v>2.87E-2</v>
      </c>
      <c r="G18" s="211">
        <v>3.7999999999999999E-2</v>
      </c>
    </row>
    <row r="19" spans="2:7" ht="12.75" customHeight="1" x14ac:dyDescent="0.15">
      <c r="B19" s="229">
        <v>43678</v>
      </c>
      <c r="C19" s="211">
        <v>2.7199999999999998E-2</v>
      </c>
      <c r="D19" s="211">
        <v>1.6000000000000001E-3</v>
      </c>
      <c r="E19" s="211">
        <v>3.2000000000000002E-3</v>
      </c>
      <c r="F19" s="211">
        <v>2.87E-2</v>
      </c>
      <c r="G19" s="211">
        <v>3.7999999999999999E-2</v>
      </c>
    </row>
    <row r="20" spans="2:7" ht="12.75" customHeight="1" x14ac:dyDescent="0.15">
      <c r="B20" s="229">
        <v>43831</v>
      </c>
      <c r="C20" s="211">
        <v>2.7199999999999998E-2</v>
      </c>
      <c r="D20" s="211">
        <v>1.6000000000000001E-3</v>
      </c>
      <c r="E20" s="211">
        <v>3.2000000000000002E-3</v>
      </c>
      <c r="F20" s="211">
        <v>2.8400000000000002E-2</v>
      </c>
      <c r="G20" s="211">
        <v>3.7999999999999999E-2</v>
      </c>
    </row>
    <row r="21" spans="2:7" ht="12.75" customHeight="1" x14ac:dyDescent="0.15">
      <c r="B21" s="229">
        <v>43983</v>
      </c>
      <c r="C21" s="212">
        <v>2.7199999999999998E-2</v>
      </c>
      <c r="D21" s="212">
        <v>1.6000000000000001E-3</v>
      </c>
      <c r="E21" s="212">
        <v>3.2000000000000002E-3</v>
      </c>
      <c r="F21" s="211">
        <v>2.35E-2</v>
      </c>
      <c r="G21" s="211">
        <v>3.7999999999999999E-2</v>
      </c>
    </row>
    <row r="22" spans="2:7" ht="12.75" customHeight="1" x14ac:dyDescent="0.15">
      <c r="B22" s="229">
        <v>44013</v>
      </c>
      <c r="C22" s="212">
        <v>2.7199999999999998E-2</v>
      </c>
      <c r="D22" s="212">
        <v>1.6000000000000001E-3</v>
      </c>
      <c r="E22" s="212">
        <v>3.2000000000000002E-3</v>
      </c>
      <c r="F22" s="211">
        <v>1.9800000000000002E-2</v>
      </c>
      <c r="G22" s="211">
        <v>3.7999999999999999E-2</v>
      </c>
    </row>
    <row r="23" spans="2:7" ht="12.75" customHeight="1" x14ac:dyDescent="0.15">
      <c r="B23" s="229">
        <v>44044</v>
      </c>
      <c r="C23" s="212">
        <v>2.9600000000000001E-2</v>
      </c>
      <c r="D23" s="212">
        <v>1.6000000000000001E-3</v>
      </c>
      <c r="E23" s="212">
        <v>3.2000000000000002E-3</v>
      </c>
      <c r="F23" s="211">
        <v>1.61E-2</v>
      </c>
      <c r="G23" s="211">
        <v>3.7999999999999999E-2</v>
      </c>
    </row>
    <row r="24" spans="2:7" ht="12.75" customHeight="1" x14ac:dyDescent="0.15">
      <c r="B24" s="229">
        <v>44075</v>
      </c>
      <c r="C24" s="212">
        <v>2.9600000000000001E-2</v>
      </c>
      <c r="D24" s="212">
        <v>1.6000000000000001E-3</v>
      </c>
      <c r="E24" s="212">
        <v>3.2000000000000002E-3</v>
      </c>
      <c r="F24" s="211">
        <v>1.44E-2</v>
      </c>
      <c r="G24" s="211">
        <v>3.7999999999999999E-2</v>
      </c>
    </row>
    <row r="25" spans="2:7" ht="12.75" customHeight="1" x14ac:dyDescent="0.15">
      <c r="B25" s="229">
        <v>44105</v>
      </c>
      <c r="C25" s="212">
        <v>2.9600000000000001E-2</v>
      </c>
      <c r="D25" s="212">
        <v>1.6000000000000001E-3</v>
      </c>
      <c r="E25" s="212">
        <v>3.2000000000000002E-3</v>
      </c>
      <c r="F25" s="211">
        <v>1.29E-2</v>
      </c>
      <c r="G25" s="211">
        <v>3.7999999999999999E-2</v>
      </c>
    </row>
    <row r="26" spans="2:7" ht="12.75" customHeight="1" x14ac:dyDescent="0.15">
      <c r="B26" s="229">
        <v>44197</v>
      </c>
      <c r="C26" s="212">
        <v>2.9600000000000001E-2</v>
      </c>
      <c r="D26" s="212">
        <v>1.6000000000000001E-3</v>
      </c>
      <c r="E26" s="212">
        <v>3.2000000000000002E-3</v>
      </c>
      <c r="F26" s="211">
        <v>1.23E-2</v>
      </c>
      <c r="G26" s="211">
        <v>3.7999999999999999E-2</v>
      </c>
    </row>
    <row r="27" spans="2:7" ht="12.75" customHeight="1" x14ac:dyDescent="0.15">
      <c r="B27" s="229">
        <v>44228</v>
      </c>
      <c r="C27" s="212">
        <v>2.9600000000000001E-2</v>
      </c>
      <c r="D27" s="212">
        <v>1.6000000000000001E-3</v>
      </c>
      <c r="E27" s="212">
        <v>3.2000000000000002E-3</v>
      </c>
      <c r="F27" s="211">
        <v>1.1900000000000001E-2</v>
      </c>
      <c r="G27" s="211">
        <v>3.7999999999999999E-2</v>
      </c>
    </row>
    <row r="28" spans="2:7" ht="12.75" customHeight="1" x14ac:dyDescent="0.15">
      <c r="B28" s="229">
        <v>44256</v>
      </c>
      <c r="C28" s="212">
        <v>2.9600000000000001E-2</v>
      </c>
      <c r="D28" s="212">
        <v>1.6000000000000001E-3</v>
      </c>
      <c r="E28" s="212">
        <v>3.2000000000000002E-3</v>
      </c>
      <c r="F28" s="211">
        <v>1.15E-2</v>
      </c>
      <c r="G28" s="211">
        <v>3.7999999999999999E-2</v>
      </c>
    </row>
    <row r="29" spans="2:7" ht="12.75" customHeight="1" x14ac:dyDescent="0.15">
      <c r="B29" s="229">
        <v>44409</v>
      </c>
      <c r="C29" s="212">
        <v>2.9499999999999998E-2</v>
      </c>
      <c r="D29" s="212">
        <v>1.2999999999999999E-3</v>
      </c>
      <c r="E29" s="212">
        <v>3.2000000000000002E-3</v>
      </c>
      <c r="F29" s="211">
        <v>1.15E-2</v>
      </c>
      <c r="G29" s="211">
        <v>3.7999999999999999E-2</v>
      </c>
    </row>
    <row r="30" spans="2:7" ht="12.75" customHeight="1" x14ac:dyDescent="0.15">
      <c r="B30" s="229">
        <v>44470</v>
      </c>
      <c r="C30" s="212">
        <v>2.9499999999999998E-2</v>
      </c>
      <c r="D30" s="212">
        <v>1.2999999999999999E-3</v>
      </c>
      <c r="E30" s="212">
        <v>3.2000000000000002E-3</v>
      </c>
      <c r="F30" s="211">
        <v>1.18E-2</v>
      </c>
      <c r="G30" s="211">
        <v>3.7999999999999999E-2</v>
      </c>
    </row>
    <row r="31" spans="2:7" ht="12.75" customHeight="1" x14ac:dyDescent="0.15">
      <c r="B31" s="229">
        <v>44501</v>
      </c>
      <c r="C31" s="212">
        <v>2.9499999999999998E-2</v>
      </c>
      <c r="D31" s="212">
        <v>1.2999999999999999E-3</v>
      </c>
      <c r="E31" s="212">
        <v>3.2000000000000002E-3</v>
      </c>
      <c r="F31" s="211">
        <v>1.24E-2</v>
      </c>
      <c r="G31" s="211">
        <v>3.7999999999999999E-2</v>
      </c>
    </row>
    <row r="32" spans="2:7" ht="12.75" customHeight="1" x14ac:dyDescent="0.15">
      <c r="B32" s="229">
        <v>44531</v>
      </c>
      <c r="C32" s="212">
        <v>2.9499999999999998E-2</v>
      </c>
      <c r="D32" s="212">
        <v>1.2999999999999999E-3</v>
      </c>
      <c r="E32" s="212">
        <v>3.2000000000000002E-3</v>
      </c>
      <c r="F32" s="211">
        <v>1.5299999999999999E-2</v>
      </c>
      <c r="G32" s="211">
        <v>3.7999999999999999E-2</v>
      </c>
    </row>
    <row r="33" spans="2:9" ht="12.75" customHeight="1" x14ac:dyDescent="0.15">
      <c r="B33" s="229">
        <v>44562</v>
      </c>
      <c r="C33" s="212">
        <v>2.9499999999999998E-2</v>
      </c>
      <c r="D33" s="212">
        <v>1.2999999999999999E-3</v>
      </c>
      <c r="E33" s="212">
        <v>3.2000000000000002E-3</v>
      </c>
      <c r="F33" s="211">
        <v>2.2100000000000002E-2</v>
      </c>
      <c r="G33" s="211">
        <v>3.7999999999999999E-2</v>
      </c>
    </row>
    <row r="34" spans="2:9" ht="12.75" customHeight="1" x14ac:dyDescent="0.15">
      <c r="B34" s="229">
        <v>44593</v>
      </c>
      <c r="C34" s="212">
        <v>2.9499999999999998E-2</v>
      </c>
      <c r="D34" s="212">
        <v>1.2999999999999999E-3</v>
      </c>
      <c r="E34" s="212">
        <v>3.2000000000000002E-3</v>
      </c>
      <c r="F34" s="211">
        <v>3.04E-2</v>
      </c>
      <c r="G34" s="211">
        <v>3.7999999999999999E-2</v>
      </c>
    </row>
    <row r="35" spans="2:9" ht="12.75" customHeight="1" x14ac:dyDescent="0.15">
      <c r="B35" s="229">
        <v>44621</v>
      </c>
      <c r="C35" s="212">
        <v>2.9499999999999998E-2</v>
      </c>
      <c r="D35" s="212">
        <v>1.2999999999999999E-3</v>
      </c>
      <c r="E35" s="212">
        <v>3.2000000000000002E-3</v>
      </c>
      <c r="F35" s="211">
        <v>3.85E-2</v>
      </c>
      <c r="G35" s="211">
        <v>3.7999999999999999E-2</v>
      </c>
    </row>
    <row r="36" spans="2:9" ht="12.75" customHeight="1" x14ac:dyDescent="0.15">
      <c r="B36" s="229">
        <v>44652</v>
      </c>
      <c r="C36" s="212">
        <v>2.9499999999999998E-2</v>
      </c>
      <c r="D36" s="212">
        <v>1.2999999999999999E-3</v>
      </c>
      <c r="E36" s="212">
        <v>3.2000000000000002E-3</v>
      </c>
      <c r="F36" s="211">
        <v>4.4200000000000003E-2</v>
      </c>
      <c r="G36" s="211">
        <v>3.7999999999999999E-2</v>
      </c>
    </row>
    <row r="37" spans="2:9" ht="12.75" customHeight="1" x14ac:dyDescent="0.15">
      <c r="B37" s="229">
        <v>44682</v>
      </c>
      <c r="C37" s="212">
        <v>2.9499999999999998E-2</v>
      </c>
      <c r="D37" s="212">
        <v>1.2999999999999999E-3</v>
      </c>
      <c r="E37" s="212">
        <v>3.2000000000000002E-3</v>
      </c>
      <c r="F37" s="211">
        <v>5.0599999999999999E-2</v>
      </c>
      <c r="G37" s="211">
        <v>3.7999999999999999E-2</v>
      </c>
    </row>
    <row r="38" spans="2:9" ht="12.75" customHeight="1" x14ac:dyDescent="0.15">
      <c r="B38" s="229">
        <v>44713</v>
      </c>
      <c r="C38" s="212">
        <v>2.9499999999999998E-2</v>
      </c>
      <c r="D38" s="212">
        <v>1.2999999999999999E-3</v>
      </c>
      <c r="E38" s="212">
        <v>3.2000000000000002E-3</v>
      </c>
      <c r="F38" s="211">
        <v>5.8799999999999998E-2</v>
      </c>
      <c r="G38" s="211">
        <v>3.7999999999999999E-2</v>
      </c>
    </row>
    <row r="39" spans="2:9" ht="12.75" customHeight="1" x14ac:dyDescent="0.15">
      <c r="B39" s="229">
        <v>44743</v>
      </c>
      <c r="C39" s="212">
        <v>2.9499999999999998E-2</v>
      </c>
      <c r="D39" s="212">
        <v>1.2999999999999999E-3</v>
      </c>
      <c r="E39" s="212">
        <v>3.2000000000000002E-3</v>
      </c>
      <c r="F39" s="211">
        <v>6.8099999999999994E-2</v>
      </c>
      <c r="G39" s="211">
        <v>3.7999999999999999E-2</v>
      </c>
    </row>
    <row r="40" spans="2:9" ht="12.75" customHeight="1" x14ac:dyDescent="0.15">
      <c r="B40" s="229">
        <v>44774</v>
      </c>
      <c r="C40" s="212">
        <v>2.63E-2</v>
      </c>
      <c r="D40" s="212">
        <v>1.1999999999999999E-3</v>
      </c>
      <c r="E40" s="212">
        <v>3.2000000000000002E-3</v>
      </c>
      <c r="F40" s="211">
        <v>6.8099999999999994E-2</v>
      </c>
      <c r="G40" s="211">
        <v>3.7999999999999999E-2</v>
      </c>
    </row>
    <row r="41" spans="2:9" ht="12.75" customHeight="1" x14ac:dyDescent="0.15">
      <c r="B41" s="229">
        <v>44805</v>
      </c>
      <c r="C41" s="212">
        <v>2.63E-2</v>
      </c>
      <c r="D41" s="212">
        <v>1.1999999999999999E-3</v>
      </c>
      <c r="E41" s="212">
        <v>3.2000000000000002E-3</v>
      </c>
      <c r="F41" s="211">
        <v>8.1699999999999995E-2</v>
      </c>
      <c r="G41" s="211">
        <v>3.7999999999999999E-2</v>
      </c>
    </row>
    <row r="42" spans="2:9" ht="12.75" customHeight="1" x14ac:dyDescent="0.15">
      <c r="B42" s="229">
        <v>44927</v>
      </c>
      <c r="C42" s="212">
        <v>2.63E-2</v>
      </c>
      <c r="D42" s="212">
        <v>1.1999999999999999E-3</v>
      </c>
      <c r="E42" s="212">
        <v>3.2000000000000002E-3</v>
      </c>
      <c r="F42" s="211">
        <v>8.6199999999999999E-2</v>
      </c>
      <c r="G42" s="211">
        <v>3.7999999999999999E-2</v>
      </c>
    </row>
    <row r="43" spans="2:9" ht="12.6" customHeight="1" x14ac:dyDescent="0.15">
      <c r="B43" s="229">
        <v>45139</v>
      </c>
      <c r="C43" s="212">
        <v>2.24E-2</v>
      </c>
      <c r="D43" s="212">
        <v>1.1000000000000001E-3</v>
      </c>
      <c r="E43" s="212">
        <v>3.2000000000000002E-3</v>
      </c>
      <c r="F43" s="211">
        <v>8.6199999999999999E-2</v>
      </c>
      <c r="G43" s="211">
        <v>3.7999999999999999E-2</v>
      </c>
    </row>
    <row r="44" spans="2:9" ht="12.6" customHeight="1" x14ac:dyDescent="0.15">
      <c r="B44" s="229">
        <v>45231</v>
      </c>
      <c r="C44" s="212">
        <v>2.24E-2</v>
      </c>
      <c r="D44" s="212">
        <v>1.1000000000000001E-3</v>
      </c>
      <c r="E44" s="212">
        <v>3.2000000000000002E-3</v>
      </c>
      <c r="F44" s="211">
        <v>7.3499999999999996E-2</v>
      </c>
      <c r="G44" s="211">
        <v>3.7999999999999999E-2</v>
      </c>
    </row>
    <row r="45" spans="2:9" ht="12.6" customHeight="1" x14ac:dyDescent="0.15">
      <c r="B45" s="229">
        <v>45292</v>
      </c>
      <c r="C45" s="212">
        <v>2.24E-2</v>
      </c>
      <c r="D45" s="212">
        <v>1.1000000000000001E-3</v>
      </c>
      <c r="E45" s="212">
        <v>3.2000000000000002E-3</v>
      </c>
      <c r="F45" s="211">
        <v>6.6799999999999998E-2</v>
      </c>
      <c r="G45" s="211">
        <v>3.7999999999999999E-2</v>
      </c>
      <c r="I45" s="225"/>
    </row>
    <row r="49" spans="1:10" x14ac:dyDescent="0.15">
      <c r="C49" s="238"/>
      <c r="D49" s="238"/>
      <c r="E49" s="238"/>
      <c r="F49" s="238"/>
      <c r="J49" s="335"/>
    </row>
    <row r="50" spans="1:10" x14ac:dyDescent="0.15">
      <c r="B50" s="238"/>
      <c r="D50" s="239"/>
      <c r="E50" s="238"/>
      <c r="F50" s="238"/>
      <c r="J50" s="335"/>
    </row>
    <row r="51" spans="1:10" x14ac:dyDescent="0.15">
      <c r="B51" s="238"/>
      <c r="D51" s="239"/>
      <c r="E51" s="238"/>
      <c r="F51" s="238"/>
      <c r="J51" s="335"/>
    </row>
    <row r="52" spans="1:10" x14ac:dyDescent="0.15">
      <c r="B52" s="238"/>
      <c r="D52" s="239"/>
      <c r="E52" s="238"/>
      <c r="F52" s="238"/>
    </row>
    <row r="53" spans="1:10" x14ac:dyDescent="0.15">
      <c r="C53" s="238"/>
      <c r="D53" s="238"/>
      <c r="E53" s="238"/>
      <c r="F53" s="238"/>
    </row>
    <row r="54" spans="1:10" x14ac:dyDescent="0.15">
      <c r="A54" s="225"/>
      <c r="B54" s="228"/>
    </row>
    <row r="55" spans="1:10" x14ac:dyDescent="0.15">
      <c r="A55" s="225"/>
    </row>
    <row r="56" spans="1:10" x14ac:dyDescent="0.15">
      <c r="D56" s="238"/>
      <c r="E56" s="238"/>
      <c r="F56" s="238"/>
      <c r="G56" s="238"/>
    </row>
  </sheetData>
  <sheetProtection sheet="1" selectLockedCells="1" selectUnlockedCells="1"/>
  <mergeCells count="8">
    <mergeCell ref="S2:S3"/>
    <mergeCell ref="L2:L3"/>
    <mergeCell ref="B2:B3"/>
    <mergeCell ref="A2:A3"/>
    <mergeCell ref="C2:G2"/>
    <mergeCell ref="M2:O2"/>
    <mergeCell ref="P2:R2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138</vt:i4>
      </vt:variant>
    </vt:vector>
  </HeadingPairs>
  <TitlesOfParts>
    <vt:vector size="144" baseType="lpstr">
      <vt:lpstr>Kalkulator</vt:lpstr>
      <vt:lpstr>Prowizje</vt:lpstr>
      <vt:lpstr>Instrukcja</vt:lpstr>
      <vt:lpstr>Parametry</vt:lpstr>
      <vt:lpstr>Produkty</vt:lpstr>
      <vt:lpstr>Notyfikowana</vt:lpstr>
      <vt:lpstr>actAmt</vt:lpstr>
      <vt:lpstr>actAmtInp</vt:lpstr>
      <vt:lpstr>actEnd</vt:lpstr>
      <vt:lpstr>actGuar</vt:lpstr>
      <vt:lpstr>actStart</vt:lpstr>
      <vt:lpstr>aidDate</vt:lpstr>
      <vt:lpstr>amtMonths</vt:lpstr>
      <vt:lpstr>calcVer</vt:lpstr>
      <vt:lpstr>chgDate</vt:lpstr>
      <vt:lpstr>chgDateDesc</vt:lpstr>
      <vt:lpstr>chgDateInp</vt:lpstr>
      <vt:lpstr>COSME_kredyt</vt:lpstr>
      <vt:lpstr>COSME_kredyt_N</vt:lpstr>
      <vt:lpstr>COSME_pomoc</vt:lpstr>
      <vt:lpstr>COSME_warianty</vt:lpstr>
      <vt:lpstr>Ekomax_kredyt</vt:lpstr>
      <vt:lpstr>EKOMAX_kredyt_N</vt:lpstr>
      <vt:lpstr>Ekomax_pomoc</vt:lpstr>
      <vt:lpstr>Ekomax_warianty</vt:lpstr>
      <vt:lpstr>error</vt:lpstr>
      <vt:lpstr>FENG_kredyt</vt:lpstr>
      <vt:lpstr>FENG_kredyt_D</vt:lpstr>
      <vt:lpstr>FENG_kredyt_D_N</vt:lpstr>
      <vt:lpstr>FENG_kredyt_N</vt:lpstr>
      <vt:lpstr>FENG_kredyt_RPI</vt:lpstr>
      <vt:lpstr>FENG_pomoc</vt:lpstr>
      <vt:lpstr>FENG_pomoc_N</vt:lpstr>
      <vt:lpstr>FENG_warianty</vt:lpstr>
      <vt:lpstr>FGR_10_kredyt</vt:lpstr>
      <vt:lpstr>FGR_10_kredyt_N</vt:lpstr>
      <vt:lpstr>FGR_10_pomoc</vt:lpstr>
      <vt:lpstr>FGR_10_warianty</vt:lpstr>
      <vt:lpstr>FGR_5_kredyt</vt:lpstr>
      <vt:lpstr>FGR_5_kredyt_N</vt:lpstr>
      <vt:lpstr>FGR_5_pomoc</vt:lpstr>
      <vt:lpstr>FGR_5_warianty</vt:lpstr>
      <vt:lpstr>guarEur</vt:lpstr>
      <vt:lpstr>helpMsg</vt:lpstr>
      <vt:lpstr>holidaysActStart</vt:lpstr>
      <vt:lpstr>holidaysAidDate</vt:lpstr>
      <vt:lpstr>holidaysChgDate</vt:lpstr>
      <vt:lpstr>jestPomoc</vt:lpstr>
      <vt:lpstr>jestProwizja</vt:lpstr>
      <vt:lpstr>KFG_kredyt</vt:lpstr>
      <vt:lpstr>KFG_kredyt_N</vt:lpstr>
      <vt:lpstr>KFG_pomoc</vt:lpstr>
      <vt:lpstr>KFG_warianty</vt:lpstr>
      <vt:lpstr>kod_produkt</vt:lpstr>
      <vt:lpstr>KREU_kredyt</vt:lpstr>
      <vt:lpstr>KREU_kredyt_N</vt:lpstr>
      <vt:lpstr>KREU_pomoc</vt:lpstr>
      <vt:lpstr>KREU_warianty</vt:lpstr>
      <vt:lpstr>kursEURO</vt:lpstr>
      <vt:lpstr>kwotaPomocy</vt:lpstr>
      <vt:lpstr>kwotaPomocyEUR</vt:lpstr>
      <vt:lpstr>kwotaPomocyNot</vt:lpstr>
      <vt:lpstr>kwotaProwizji</vt:lpstr>
      <vt:lpstr>LGL_pomoc</vt:lpstr>
      <vt:lpstr>LGL_warianty</vt:lpstr>
      <vt:lpstr>maxEUR</vt:lpstr>
      <vt:lpstr>maxGuar</vt:lpstr>
      <vt:lpstr>maxGuarEur</vt:lpstr>
      <vt:lpstr>maxMonths</vt:lpstr>
      <vt:lpstr>maxMonthsThreshold2</vt:lpstr>
      <vt:lpstr>maxOkres</vt:lpstr>
      <vt:lpstr>minEUR</vt:lpstr>
      <vt:lpstr>monthOneDayLater</vt:lpstr>
      <vt:lpstr>months</vt:lpstr>
      <vt:lpstr>months_LGL</vt:lpstr>
      <vt:lpstr>monthsGenitive</vt:lpstr>
      <vt:lpstr>msgs</vt:lpstr>
      <vt:lpstr>newEnd</vt:lpstr>
      <vt:lpstr>newGuar</vt:lpstr>
      <vt:lpstr>newGuarEur</vt:lpstr>
      <vt:lpstr>newMonths</vt:lpstr>
      <vt:lpstr>newMonths34</vt:lpstr>
      <vt:lpstr>nr_pomoc</vt:lpstr>
      <vt:lpstr>Instrukcja!Obszar_wydruku</vt:lpstr>
      <vt:lpstr>Kalkulator!Obszar_wydruku</vt:lpstr>
      <vt:lpstr>Prowizje!Obszar_wydruku</vt:lpstr>
      <vt:lpstr>parPomoc</vt:lpstr>
      <vt:lpstr>parTypPomoc</vt:lpstr>
      <vt:lpstr>pic_0</vt:lpstr>
      <vt:lpstr>pic_COSME</vt:lpstr>
      <vt:lpstr>pic_Ekomax</vt:lpstr>
      <vt:lpstr>pic_FENG</vt:lpstr>
      <vt:lpstr>pic_FGR_10</vt:lpstr>
      <vt:lpstr>pic_FGR_5</vt:lpstr>
      <vt:lpstr>pic_KFG</vt:lpstr>
      <vt:lpstr>pic_KREU</vt:lpstr>
      <vt:lpstr>pic_LGL</vt:lpstr>
      <vt:lpstr>pic_POIR</vt:lpstr>
      <vt:lpstr>POIR_kredyt</vt:lpstr>
      <vt:lpstr>POIR_kredyt_N</vt:lpstr>
      <vt:lpstr>POIR_kredyt_RPI</vt:lpstr>
      <vt:lpstr>POIR_pomoc</vt:lpstr>
      <vt:lpstr>POIR_pomoc_2</vt:lpstr>
      <vt:lpstr>POIR_warianty</vt:lpstr>
      <vt:lpstr>pomocMax</vt:lpstr>
      <vt:lpstr>POPC_kredyt</vt:lpstr>
      <vt:lpstr>POPC_kredyt_N</vt:lpstr>
      <vt:lpstr>POPC_pomoc</vt:lpstr>
      <vt:lpstr>POPC_pomoc_2</vt:lpstr>
      <vt:lpstr>POPC_warianty</vt:lpstr>
      <vt:lpstr>ppEnd</vt:lpstr>
      <vt:lpstr>ppEndNo</vt:lpstr>
      <vt:lpstr>ppStart</vt:lpstr>
      <vt:lpstr>ppStartNo</vt:lpstr>
      <vt:lpstr>ppStartText</vt:lpstr>
      <vt:lpstr>produkt_nazwa2</vt:lpstr>
      <vt:lpstr>produktKod</vt:lpstr>
      <vt:lpstr>produkty_nazwa</vt:lpstr>
      <vt:lpstr>provCalcRest</vt:lpstr>
      <vt:lpstr>prowizja</vt:lpstr>
      <vt:lpstr>realActEnd</vt:lpstr>
      <vt:lpstr>realActEndNo</vt:lpstr>
      <vt:lpstr>realChgDate</vt:lpstr>
      <vt:lpstr>realChgDateNo</vt:lpstr>
      <vt:lpstr>realEndAmt</vt:lpstr>
      <vt:lpstr>realEndAmtNo</vt:lpstr>
      <vt:lpstr>realNewEnd</vt:lpstr>
      <vt:lpstr>realNewEndNo</vt:lpstr>
      <vt:lpstr>repDate</vt:lpstr>
      <vt:lpstr>rocznica</vt:lpstr>
      <vt:lpstr>rodzaj_nr</vt:lpstr>
      <vt:lpstr>sektor</vt:lpstr>
      <vt:lpstr>threshold</vt:lpstr>
      <vt:lpstr>thresholdNew</vt:lpstr>
      <vt:lpstr>typKredytu</vt:lpstr>
      <vt:lpstr>typKredytuOpis</vt:lpstr>
      <vt:lpstr>typPomocy</vt:lpstr>
      <vt:lpstr>typPomocyNr</vt:lpstr>
      <vt:lpstr>typyKredytu</vt:lpstr>
      <vt:lpstr>typyKredytuNr</vt:lpstr>
      <vt:lpstr>Instrukcja!Tytuły_wydruku</vt:lpstr>
      <vt:lpstr>wariant</vt:lpstr>
      <vt:lpstr>warianty</vt:lpstr>
      <vt:lpstr>warNr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Klewicz</dc:creator>
  <cp:lastModifiedBy>RENATA WĄTROBA</cp:lastModifiedBy>
  <cp:lastPrinted>2019-09-02T16:06:37Z</cp:lastPrinted>
  <dcterms:created xsi:type="dcterms:W3CDTF">2019-08-07T06:47:07Z</dcterms:created>
  <dcterms:modified xsi:type="dcterms:W3CDTF">2024-03-19T10:59:18Z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05055-e449-4922-9b24-eaf69810da98_Enabled">
    <vt:lpwstr>true</vt:lpwstr>
  </property>
  <property fmtid="{D5CDD505-2E9C-101B-9397-08002B2CF9AE}" pid="3" name="MSIP_Label_e2e05055-e449-4922-9b24-eaf69810da98_SetDate">
    <vt:lpwstr>2023-12-25T09:37:42Z</vt:lpwstr>
  </property>
  <property fmtid="{D5CDD505-2E9C-101B-9397-08002B2CF9AE}" pid="4" name="MSIP_Label_e2e05055-e449-4922-9b24-eaf69810da98_Method">
    <vt:lpwstr>Privileged</vt:lpwstr>
  </property>
  <property fmtid="{D5CDD505-2E9C-101B-9397-08002B2CF9AE}" pid="5" name="MSIP_Label_e2e05055-e449-4922-9b24-eaf69810da98_Name">
    <vt:lpwstr>e2e05055-e449-4922-9b24-eaf69810da98</vt:lpwstr>
  </property>
  <property fmtid="{D5CDD505-2E9C-101B-9397-08002B2CF9AE}" pid="6" name="MSIP_Label_e2e05055-e449-4922-9b24-eaf69810da98_SiteId">
    <vt:lpwstr>29bb5b9c-200a-4906-89ef-c651c86ab301</vt:lpwstr>
  </property>
  <property fmtid="{D5CDD505-2E9C-101B-9397-08002B2CF9AE}" pid="7" name="MSIP_Label_e2e05055-e449-4922-9b24-eaf69810da98_ContentBits">
    <vt:lpwstr>0</vt:lpwstr>
  </property>
</Properties>
</file>